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155" yWindow="1440" windowWidth="20730" windowHeight="11760" tabRatio="500" firstSheet="1" activeTab="1"/>
  </bookViews>
  <sheets>
    <sheet name="READ THIS FIRST " sheetId="1" r:id="rId1"/>
    <sheet name="Q1 Capital Budgeting Template" sheetId="6" r:id="rId2"/>
    <sheet name="Q2 K-wacc" sheetId="9" r:id="rId3"/>
    <sheet name="Q3 Sensitivty Analysis" sheetId="7" r:id="rId4"/>
    <sheet name="Sheet1" sheetId="10" r:id="rId5"/>
  </sheets>
  <externalReferences>
    <externalReference r:id="rId6"/>
    <externalReference r:id="rId7"/>
    <externalReference r:id="rId8"/>
    <externalReference r:id="rId9"/>
  </externalReferences>
  <definedNames>
    <definedName name="ANNFV" localSheetId="2">#REF!</definedName>
    <definedName name="ANNFV" localSheetId="0">#REF!</definedName>
    <definedName name="ANNFV">#REF!</definedName>
    <definedName name="ANNPV" localSheetId="2">#REF!</definedName>
    <definedName name="ANNPV" localSheetId="0">#REF!</definedName>
    <definedName name="ANNPV">#REF!</definedName>
    <definedName name="AUTOMATE" localSheetId="2">#REF!</definedName>
    <definedName name="AUTOMATE" localSheetId="0">#REF!</definedName>
    <definedName name="AUTOMATE">#REF!</definedName>
    <definedName name="B_Corp">#REF!</definedName>
    <definedName name="BB_Corp">#REF!</definedName>
    <definedName name="BBB_Corp">#REF!</definedName>
    <definedName name="Beds">#REF!</definedName>
    <definedName name="For_Profit_Billing_per_Day">'[1]Big Ex'!$E$4</definedName>
    <definedName name="For_Profit_Insur_Cases">'[1]Big Ex'!#REF!</definedName>
    <definedName name="For_Profit_Rev_Inc">'[1]Big Ex'!$E$5</definedName>
    <definedName name="FVLUMP">#N/A</definedName>
    <definedName name="MRP">'[2]Bonds and US Treasuries '!$F$4</definedName>
    <definedName name="no">'[1]Big Ex'!#REF!</definedName>
    <definedName name="NO_Name">'[1]Big Ex'!#REF!</definedName>
    <definedName name="NvsASD">"V2002-06-30"</definedName>
    <definedName name="NvsAutoDrillOk">"VN"</definedName>
    <definedName name="NvsElapsedTime">0.000181828705535736</definedName>
    <definedName name="NvsEndTime">37470.6739789352</definedName>
    <definedName name="NvsInstSpec">"%,FDEPTID,V2822"</definedName>
    <definedName name="NvsLayoutType">"M3"</definedName>
    <definedName name="NvsPanelEffdt">"V2001-07-31"</definedName>
    <definedName name="NvsPanelSetid">"VHSC"</definedName>
    <definedName name="NvsReqBU">"VMC"</definedName>
    <definedName name="NvsReqBUOnly">"VY"</definedName>
    <definedName name="NvsTransLed">"VN"</definedName>
    <definedName name="NvsTreeASD">"V2002-06-30"</definedName>
    <definedName name="overhead" localSheetId="0">'[3]Q2- DYOD'!#REF!</definedName>
    <definedName name="overhead">#REF!</definedName>
    <definedName name="PVLUMP">#N/A</definedName>
    <definedName name="Rf_10yr">#REF!</definedName>
    <definedName name="Riskfree">'[4]WACC of Comparables (TN1)'!$D$3</definedName>
    <definedName name="TaxRate">'[4]WACC of Comparables (TN1)'!$D$4</definedName>
    <definedName name="Utilization_Increase">#REF!</definedName>
    <definedName name="Utilization_Yr1">#REF!</definedName>
    <definedName name="Utilization_Yr2">#REF!</definedName>
    <definedName name="WACC">'[1]Big Ex'!$C$10</definedName>
    <definedName name="xxx" localSheetId="2">#REF!</definedName>
    <definedName name="xxx" localSheetId="0">#REF!</definedName>
    <definedName name="xxx">#REF!</definedName>
    <definedName name="xxxxxx" localSheetId="2">#REF!</definedName>
    <definedName name="xxxxxx" localSheetId="0">#REF!</definedName>
    <definedName name="xxxxxx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4" i="6"/>
  <c r="G15"/>
  <c r="H15"/>
  <c r="I15"/>
  <c r="J15"/>
  <c r="K15"/>
  <c r="L15"/>
  <c r="M15"/>
  <c r="N15"/>
  <c r="O15"/>
  <c r="O16"/>
  <c r="O19"/>
  <c r="O24"/>
  <c r="O32"/>
  <c r="O25"/>
  <c r="O33"/>
  <c r="O34"/>
  <c r="C27"/>
  <c r="O27"/>
  <c r="O35"/>
  <c r="O28"/>
  <c r="O36"/>
  <c r="O37"/>
  <c r="O17"/>
  <c r="O21"/>
  <c r="O42"/>
  <c r="O38"/>
  <c r="O39"/>
  <c r="O43"/>
  <c r="O44"/>
  <c r="O46"/>
  <c r="F47"/>
  <c r="G47"/>
  <c r="H47"/>
  <c r="I47"/>
  <c r="J47"/>
  <c r="K47"/>
  <c r="L47"/>
  <c r="M47"/>
  <c r="N47"/>
  <c r="O47"/>
  <c r="F48"/>
  <c r="G48"/>
  <c r="H48"/>
  <c r="I48"/>
  <c r="J48"/>
  <c r="K48"/>
  <c r="L48"/>
  <c r="M48"/>
  <c r="N48"/>
  <c r="O48"/>
  <c r="O49"/>
  <c r="O54"/>
  <c r="O56"/>
  <c r="O67"/>
  <c r="O83"/>
  <c r="O84"/>
  <c r="N14"/>
  <c r="N16"/>
  <c r="N19"/>
  <c r="N24"/>
  <c r="N32"/>
  <c r="N25"/>
  <c r="N33"/>
  <c r="N34"/>
  <c r="N27"/>
  <c r="N35"/>
  <c r="N28"/>
  <c r="N36"/>
  <c r="N37"/>
  <c r="N17"/>
  <c r="N21"/>
  <c r="N42"/>
  <c r="N38"/>
  <c r="N39"/>
  <c r="N43"/>
  <c r="N44"/>
  <c r="N46"/>
  <c r="N49"/>
  <c r="N54"/>
  <c r="N56"/>
  <c r="N67"/>
  <c r="N83"/>
  <c r="N84"/>
  <c r="M14"/>
  <c r="M16"/>
  <c r="M19"/>
  <c r="M24"/>
  <c r="M32"/>
  <c r="M25"/>
  <c r="M33"/>
  <c r="M34"/>
  <c r="M27"/>
  <c r="M35"/>
  <c r="M28"/>
  <c r="M36"/>
  <c r="M37"/>
  <c r="M17"/>
  <c r="M21"/>
  <c r="M42"/>
  <c r="M38"/>
  <c r="M39"/>
  <c r="M43"/>
  <c r="M44"/>
  <c r="M46"/>
  <c r="M49"/>
  <c r="M54"/>
  <c r="M56"/>
  <c r="M67"/>
  <c r="M83"/>
  <c r="M84"/>
  <c r="L14"/>
  <c r="L16"/>
  <c r="L19"/>
  <c r="L24"/>
  <c r="L32"/>
  <c r="L25"/>
  <c r="L33"/>
  <c r="L34"/>
  <c r="L27"/>
  <c r="L35"/>
  <c r="L28"/>
  <c r="L36"/>
  <c r="L37"/>
  <c r="L17"/>
  <c r="L21"/>
  <c r="L42"/>
  <c r="L38"/>
  <c r="L39"/>
  <c r="L43"/>
  <c r="L44"/>
  <c r="L46"/>
  <c r="L49"/>
  <c r="L54"/>
  <c r="L56"/>
  <c r="L67"/>
  <c r="L83"/>
  <c r="L84"/>
  <c r="K14"/>
  <c r="K16"/>
  <c r="K19"/>
  <c r="K24"/>
  <c r="K32"/>
  <c r="K25"/>
  <c r="K33"/>
  <c r="K34"/>
  <c r="K27"/>
  <c r="K35"/>
  <c r="K28"/>
  <c r="K36"/>
  <c r="K37"/>
  <c r="K17"/>
  <c r="K21"/>
  <c r="K42"/>
  <c r="K38"/>
  <c r="K39"/>
  <c r="K43"/>
  <c r="K44"/>
  <c r="K46"/>
  <c r="K49"/>
  <c r="K54"/>
  <c r="K56"/>
  <c r="K67"/>
  <c r="K83"/>
  <c r="K84"/>
  <c r="J14"/>
  <c r="J16"/>
  <c r="J19"/>
  <c r="J24"/>
  <c r="J32"/>
  <c r="J25"/>
  <c r="J33"/>
  <c r="J34"/>
  <c r="J27"/>
  <c r="J35"/>
  <c r="J28"/>
  <c r="J36"/>
  <c r="J37"/>
  <c r="J17"/>
  <c r="J21"/>
  <c r="J42"/>
  <c r="J38"/>
  <c r="J39"/>
  <c r="J43"/>
  <c r="J44"/>
  <c r="J46"/>
  <c r="J49"/>
  <c r="J54"/>
  <c r="J56"/>
  <c r="J67"/>
  <c r="J83"/>
  <c r="J84"/>
  <c r="I14"/>
  <c r="I16"/>
  <c r="I19"/>
  <c r="I24"/>
  <c r="I32"/>
  <c r="I25"/>
  <c r="I33"/>
  <c r="I34"/>
  <c r="I27"/>
  <c r="I35"/>
  <c r="I28"/>
  <c r="I36"/>
  <c r="I37"/>
  <c r="I17"/>
  <c r="I21"/>
  <c r="I42"/>
  <c r="I38"/>
  <c r="I39"/>
  <c r="I43"/>
  <c r="I44"/>
  <c r="I46"/>
  <c r="I49"/>
  <c r="I54"/>
  <c r="I56"/>
  <c r="I67"/>
  <c r="I83"/>
  <c r="I84"/>
  <c r="H14"/>
  <c r="H16"/>
  <c r="H19"/>
  <c r="H24"/>
  <c r="H32"/>
  <c r="H25"/>
  <c r="H33"/>
  <c r="H34"/>
  <c r="H27"/>
  <c r="H35"/>
  <c r="H28"/>
  <c r="H36"/>
  <c r="H37"/>
  <c r="H17"/>
  <c r="H21"/>
  <c r="H42"/>
  <c r="H38"/>
  <c r="H39"/>
  <c r="H43"/>
  <c r="H44"/>
  <c r="H46"/>
  <c r="H49"/>
  <c r="H54"/>
  <c r="H56"/>
  <c r="H67"/>
  <c r="H83"/>
  <c r="H84"/>
  <c r="G14"/>
  <c r="G16"/>
  <c r="G19"/>
  <c r="G24"/>
  <c r="G32"/>
  <c r="G25"/>
  <c r="G33"/>
  <c r="G34"/>
  <c r="G27"/>
  <c r="G35"/>
  <c r="G28"/>
  <c r="G36"/>
  <c r="G37"/>
  <c r="G17"/>
  <c r="G21"/>
  <c r="G42"/>
  <c r="G38"/>
  <c r="G39"/>
  <c r="G43"/>
  <c r="G44"/>
  <c r="G46"/>
  <c r="G49"/>
  <c r="G54"/>
  <c r="G56"/>
  <c r="G67"/>
  <c r="G83"/>
  <c r="G84"/>
  <c r="F14"/>
  <c r="F15"/>
  <c r="F16"/>
  <c r="F19"/>
  <c r="F24"/>
  <c r="F32"/>
  <c r="F25"/>
  <c r="F33"/>
  <c r="F34"/>
  <c r="F27"/>
  <c r="F35"/>
  <c r="F28"/>
  <c r="F36"/>
  <c r="F37"/>
  <c r="F17"/>
  <c r="F21"/>
  <c r="F42"/>
  <c r="F38"/>
  <c r="F39"/>
  <c r="F43"/>
  <c r="F44"/>
  <c r="F46"/>
  <c r="F49"/>
  <c r="F54"/>
  <c r="F56"/>
  <c r="F67"/>
  <c r="F83"/>
  <c r="F84"/>
  <c r="D83"/>
  <c r="C48"/>
  <c r="E69"/>
  <c r="E71"/>
  <c r="E80"/>
  <c r="F68"/>
  <c r="F69"/>
  <c r="F60"/>
  <c r="F61"/>
  <c r="F62"/>
  <c r="F63"/>
  <c r="F64"/>
  <c r="F70"/>
  <c r="F71"/>
  <c r="F80"/>
  <c r="G68"/>
  <c r="G60"/>
  <c r="G61"/>
  <c r="G62"/>
  <c r="G63"/>
  <c r="G64"/>
  <c r="G70"/>
  <c r="G71"/>
  <c r="G80"/>
  <c r="H68"/>
  <c r="H69"/>
  <c r="H60"/>
  <c r="H61"/>
  <c r="H62"/>
  <c r="H63"/>
  <c r="H64"/>
  <c r="H70"/>
  <c r="H71"/>
  <c r="H80"/>
  <c r="I68"/>
  <c r="I69"/>
  <c r="I60"/>
  <c r="I61"/>
  <c r="I62"/>
  <c r="I63"/>
  <c r="I64"/>
  <c r="I70"/>
  <c r="I71"/>
  <c r="I80"/>
  <c r="J68"/>
  <c r="J69"/>
  <c r="J60"/>
  <c r="J61"/>
  <c r="J62"/>
  <c r="J63"/>
  <c r="J64"/>
  <c r="J70"/>
  <c r="J71"/>
  <c r="J80"/>
  <c r="K68"/>
  <c r="K69"/>
  <c r="K60"/>
  <c r="K61"/>
  <c r="K62"/>
  <c r="K63"/>
  <c r="K64"/>
  <c r="K70"/>
  <c r="K71"/>
  <c r="K80"/>
  <c r="L68"/>
  <c r="L69"/>
  <c r="L60"/>
  <c r="L61"/>
  <c r="L62"/>
  <c r="L63"/>
  <c r="L64"/>
  <c r="L70"/>
  <c r="L71"/>
  <c r="L80"/>
  <c r="M68"/>
  <c r="M69"/>
  <c r="M60"/>
  <c r="M61"/>
  <c r="M62"/>
  <c r="M63"/>
  <c r="M64"/>
  <c r="M70"/>
  <c r="M71"/>
  <c r="M80"/>
  <c r="N68"/>
  <c r="N69"/>
  <c r="N60"/>
  <c r="N61"/>
  <c r="N62"/>
  <c r="N63"/>
  <c r="N64"/>
  <c r="N70"/>
  <c r="N71"/>
  <c r="N80"/>
  <c r="O68"/>
  <c r="O69"/>
  <c r="O60"/>
  <c r="O61"/>
  <c r="O62"/>
  <c r="O63"/>
  <c r="O64"/>
  <c r="O70"/>
  <c r="O71"/>
  <c r="O77"/>
  <c r="O78"/>
  <c r="O80"/>
  <c r="C81"/>
  <c r="C80"/>
  <c r="C74"/>
  <c r="D73"/>
  <c r="C73"/>
  <c r="C71"/>
  <c r="B67"/>
  <c r="O57"/>
  <c r="N57"/>
  <c r="M57"/>
  <c r="L57"/>
  <c r="K57"/>
  <c r="J57"/>
  <c r="I57"/>
  <c r="H57"/>
  <c r="G57"/>
  <c r="F57"/>
  <c r="C49"/>
  <c r="C39"/>
  <c r="O26"/>
  <c r="O29"/>
  <c r="N26"/>
  <c r="N29"/>
  <c r="M26"/>
  <c r="M29"/>
  <c r="L26"/>
  <c r="L29"/>
  <c r="K26"/>
  <c r="K29"/>
  <c r="J26"/>
  <c r="J29"/>
  <c r="I26"/>
  <c r="I29"/>
  <c r="H26"/>
  <c r="H29"/>
  <c r="G26"/>
  <c r="G29"/>
  <c r="F26"/>
  <c r="F29"/>
  <c r="H6"/>
  <c r="F6"/>
  <c r="H5"/>
  <c r="F5"/>
  <c r="D28" i="9"/>
  <c r="C28"/>
  <c r="B28"/>
  <c r="B7"/>
  <c r="B14"/>
  <c r="B15"/>
  <c r="B17"/>
  <c r="O14" i="7"/>
  <c r="G15"/>
  <c r="H15"/>
  <c r="I15"/>
  <c r="J15"/>
  <c r="K15"/>
  <c r="L15"/>
  <c r="M15"/>
  <c r="N15"/>
  <c r="O15"/>
  <c r="O16"/>
  <c r="O19"/>
  <c r="O24"/>
  <c r="O32"/>
  <c r="O25"/>
  <c r="O33"/>
  <c r="O34"/>
  <c r="C27"/>
  <c r="O27"/>
  <c r="O35"/>
  <c r="O28"/>
  <c r="O36"/>
  <c r="O37"/>
  <c r="O17"/>
  <c r="O21"/>
  <c r="O42"/>
  <c r="O38"/>
  <c r="O39"/>
  <c r="O43"/>
  <c r="O44"/>
  <c r="O46"/>
  <c r="F47"/>
  <c r="G47"/>
  <c r="H47"/>
  <c r="I47"/>
  <c r="J47"/>
  <c r="K47"/>
  <c r="L47"/>
  <c r="M47"/>
  <c r="N47"/>
  <c r="O47"/>
  <c r="F48"/>
  <c r="G48"/>
  <c r="H48"/>
  <c r="I48"/>
  <c r="J48"/>
  <c r="K48"/>
  <c r="L48"/>
  <c r="M48"/>
  <c r="N48"/>
  <c r="O48"/>
  <c r="O49"/>
  <c r="O54"/>
  <c r="O56"/>
  <c r="O67"/>
  <c r="O83"/>
  <c r="O84"/>
  <c r="N14"/>
  <c r="N16"/>
  <c r="N19"/>
  <c r="N24"/>
  <c r="N32"/>
  <c r="N25"/>
  <c r="N33"/>
  <c r="N34"/>
  <c r="N27"/>
  <c r="N35"/>
  <c r="N28"/>
  <c r="N36"/>
  <c r="N37"/>
  <c r="N17"/>
  <c r="N21"/>
  <c r="N42"/>
  <c r="N38"/>
  <c r="N39"/>
  <c r="N43"/>
  <c r="N44"/>
  <c r="N46"/>
  <c r="N49"/>
  <c r="N54"/>
  <c r="N56"/>
  <c r="N67"/>
  <c r="N83"/>
  <c r="N84"/>
  <c r="M14"/>
  <c r="M16"/>
  <c r="M19"/>
  <c r="M24"/>
  <c r="M32"/>
  <c r="M25"/>
  <c r="M33"/>
  <c r="M34"/>
  <c r="M27"/>
  <c r="M35"/>
  <c r="M28"/>
  <c r="M36"/>
  <c r="M37"/>
  <c r="M17"/>
  <c r="M21"/>
  <c r="M42"/>
  <c r="M38"/>
  <c r="M39"/>
  <c r="M43"/>
  <c r="M44"/>
  <c r="M46"/>
  <c r="M49"/>
  <c r="M54"/>
  <c r="M56"/>
  <c r="M67"/>
  <c r="M83"/>
  <c r="M84"/>
  <c r="L14"/>
  <c r="L16"/>
  <c r="L19"/>
  <c r="L24"/>
  <c r="L32"/>
  <c r="L25"/>
  <c r="L33"/>
  <c r="L34"/>
  <c r="L27"/>
  <c r="L35"/>
  <c r="L28"/>
  <c r="L36"/>
  <c r="L37"/>
  <c r="L17"/>
  <c r="L21"/>
  <c r="L42"/>
  <c r="L38"/>
  <c r="L39"/>
  <c r="L43"/>
  <c r="L44"/>
  <c r="L46"/>
  <c r="L49"/>
  <c r="L54"/>
  <c r="L56"/>
  <c r="L67"/>
  <c r="L83"/>
  <c r="L84"/>
  <c r="K14"/>
  <c r="K16"/>
  <c r="K19"/>
  <c r="K24"/>
  <c r="K32"/>
  <c r="K25"/>
  <c r="K33"/>
  <c r="K34"/>
  <c r="K27"/>
  <c r="K35"/>
  <c r="K28"/>
  <c r="K36"/>
  <c r="K37"/>
  <c r="K17"/>
  <c r="K21"/>
  <c r="K42"/>
  <c r="K38"/>
  <c r="K39"/>
  <c r="K43"/>
  <c r="K44"/>
  <c r="K46"/>
  <c r="K49"/>
  <c r="K54"/>
  <c r="K56"/>
  <c r="K67"/>
  <c r="K83"/>
  <c r="K84"/>
  <c r="J14"/>
  <c r="J16"/>
  <c r="J19"/>
  <c r="J24"/>
  <c r="J32"/>
  <c r="J25"/>
  <c r="J33"/>
  <c r="J34"/>
  <c r="J27"/>
  <c r="J35"/>
  <c r="J28"/>
  <c r="J36"/>
  <c r="J37"/>
  <c r="J17"/>
  <c r="J21"/>
  <c r="J42"/>
  <c r="J38"/>
  <c r="J39"/>
  <c r="J43"/>
  <c r="J44"/>
  <c r="J46"/>
  <c r="J49"/>
  <c r="J54"/>
  <c r="J56"/>
  <c r="J67"/>
  <c r="J83"/>
  <c r="J84"/>
  <c r="I14"/>
  <c r="I16"/>
  <c r="I19"/>
  <c r="I24"/>
  <c r="I32"/>
  <c r="I25"/>
  <c r="I33"/>
  <c r="I34"/>
  <c r="I27"/>
  <c r="I35"/>
  <c r="I28"/>
  <c r="I36"/>
  <c r="I37"/>
  <c r="I17"/>
  <c r="I21"/>
  <c r="I42"/>
  <c r="I38"/>
  <c r="I39"/>
  <c r="I43"/>
  <c r="I44"/>
  <c r="I46"/>
  <c r="I49"/>
  <c r="I54"/>
  <c r="I56"/>
  <c r="I67"/>
  <c r="I83"/>
  <c r="I84"/>
  <c r="H14"/>
  <c r="H16"/>
  <c r="H19"/>
  <c r="H24"/>
  <c r="H32"/>
  <c r="H25"/>
  <c r="H33"/>
  <c r="H34"/>
  <c r="H27"/>
  <c r="H35"/>
  <c r="H28"/>
  <c r="H36"/>
  <c r="H37"/>
  <c r="H17"/>
  <c r="H21"/>
  <c r="H42"/>
  <c r="H38"/>
  <c r="H39"/>
  <c r="H43"/>
  <c r="H44"/>
  <c r="H46"/>
  <c r="H49"/>
  <c r="H54"/>
  <c r="H56"/>
  <c r="H67"/>
  <c r="H83"/>
  <c r="H84"/>
  <c r="G14"/>
  <c r="G16"/>
  <c r="G19"/>
  <c r="G24"/>
  <c r="G32"/>
  <c r="G25"/>
  <c r="G33"/>
  <c r="G34"/>
  <c r="G27"/>
  <c r="G35"/>
  <c r="G28"/>
  <c r="G36"/>
  <c r="G37"/>
  <c r="G17"/>
  <c r="G21"/>
  <c r="G42"/>
  <c r="G38"/>
  <c r="G39"/>
  <c r="G43"/>
  <c r="G44"/>
  <c r="G46"/>
  <c r="G49"/>
  <c r="G54"/>
  <c r="G56"/>
  <c r="G67"/>
  <c r="G83"/>
  <c r="G84"/>
  <c r="F14"/>
  <c r="F15"/>
  <c r="F16"/>
  <c r="F19"/>
  <c r="F24"/>
  <c r="F32"/>
  <c r="F25"/>
  <c r="F33"/>
  <c r="F34"/>
  <c r="F27"/>
  <c r="F35"/>
  <c r="F28"/>
  <c r="F36"/>
  <c r="F37"/>
  <c r="F17"/>
  <c r="F21"/>
  <c r="F42"/>
  <c r="F38"/>
  <c r="F39"/>
  <c r="F43"/>
  <c r="F44"/>
  <c r="F46"/>
  <c r="F49"/>
  <c r="F54"/>
  <c r="F56"/>
  <c r="F67"/>
  <c r="F83"/>
  <c r="F84"/>
  <c r="D83"/>
  <c r="C48"/>
  <c r="E69"/>
  <c r="E71"/>
  <c r="E80"/>
  <c r="F68"/>
  <c r="F69"/>
  <c r="F60"/>
  <c r="F61"/>
  <c r="F62"/>
  <c r="F63"/>
  <c r="F64"/>
  <c r="F70"/>
  <c r="F71"/>
  <c r="F80"/>
  <c r="G68"/>
  <c r="G60"/>
  <c r="G61"/>
  <c r="G62"/>
  <c r="G63"/>
  <c r="G64"/>
  <c r="G70"/>
  <c r="G71"/>
  <c r="G80"/>
  <c r="H68"/>
  <c r="H69"/>
  <c r="H60"/>
  <c r="H61"/>
  <c r="H62"/>
  <c r="H63"/>
  <c r="H64"/>
  <c r="H70"/>
  <c r="H71"/>
  <c r="H80"/>
  <c r="I68"/>
  <c r="I69"/>
  <c r="I60"/>
  <c r="I61"/>
  <c r="I62"/>
  <c r="I63"/>
  <c r="I64"/>
  <c r="I70"/>
  <c r="I71"/>
  <c r="I80"/>
  <c r="J68"/>
  <c r="J69"/>
  <c r="J60"/>
  <c r="J61"/>
  <c r="J62"/>
  <c r="J63"/>
  <c r="J64"/>
  <c r="J70"/>
  <c r="J71"/>
  <c r="J80"/>
  <c r="K68"/>
  <c r="K69"/>
  <c r="K60"/>
  <c r="K61"/>
  <c r="K62"/>
  <c r="K63"/>
  <c r="K64"/>
  <c r="K70"/>
  <c r="K71"/>
  <c r="K80"/>
  <c r="L68"/>
  <c r="L69"/>
  <c r="L60"/>
  <c r="L61"/>
  <c r="L62"/>
  <c r="L63"/>
  <c r="L64"/>
  <c r="L70"/>
  <c r="L71"/>
  <c r="L80"/>
  <c r="M68"/>
  <c r="M69"/>
  <c r="M60"/>
  <c r="M61"/>
  <c r="M62"/>
  <c r="M63"/>
  <c r="M64"/>
  <c r="M70"/>
  <c r="M71"/>
  <c r="M80"/>
  <c r="N68"/>
  <c r="N69"/>
  <c r="N60"/>
  <c r="N61"/>
  <c r="N62"/>
  <c r="N63"/>
  <c r="N64"/>
  <c r="N70"/>
  <c r="N71"/>
  <c r="N80"/>
  <c r="O68"/>
  <c r="O69"/>
  <c r="O60"/>
  <c r="O61"/>
  <c r="O62"/>
  <c r="O63"/>
  <c r="O64"/>
  <c r="O70"/>
  <c r="O71"/>
  <c r="O77"/>
  <c r="O78"/>
  <c r="O80"/>
  <c r="C81"/>
  <c r="C80"/>
  <c r="C74"/>
  <c r="D73"/>
  <c r="C73"/>
  <c r="C71"/>
  <c r="B67"/>
  <c r="O57"/>
  <c r="N57"/>
  <c r="M57"/>
  <c r="L57"/>
  <c r="K57"/>
  <c r="J57"/>
  <c r="I57"/>
  <c r="H57"/>
  <c r="G57"/>
  <c r="F57"/>
  <c r="C49"/>
  <c r="C39"/>
  <c r="O26"/>
  <c r="O29"/>
  <c r="N26"/>
  <c r="N29"/>
  <c r="M26"/>
  <c r="M29"/>
  <c r="L26"/>
  <c r="L29"/>
  <c r="K26"/>
  <c r="K29"/>
  <c r="J26"/>
  <c r="J29"/>
  <c r="I26"/>
  <c r="I29"/>
  <c r="H26"/>
  <c r="H29"/>
  <c r="G26"/>
  <c r="G29"/>
  <c r="F26"/>
  <c r="F29"/>
  <c r="H6"/>
  <c r="F6"/>
  <c r="H5"/>
  <c r="F5"/>
  <c r="C33" i="1"/>
  <c r="C34"/>
</calcChain>
</file>

<file path=xl/sharedStrings.xml><?xml version="1.0" encoding="utf-8"?>
<sst xmlns="http://schemas.openxmlformats.org/spreadsheetml/2006/main" count="385" uniqueCount="244">
  <si>
    <t>Can a non-profit hospital accept projects that a for-profit hospital would reject?</t>
    <phoneticPr fontId="8" type="noConversion"/>
  </si>
  <si>
    <t>Listen to the Intro Audio</t>
    <phoneticPr fontId="8" type="noConversion"/>
  </si>
  <si>
    <t>Study the above analysis carefully, examining the inputs, outputs, and formulas used to do the calculations.</t>
    <phoneticPr fontId="8" type="noConversion"/>
  </si>
  <si>
    <t xml:space="preserve"> </t>
    <phoneticPr fontId="10" type="noConversion"/>
  </si>
  <si>
    <t>Reconcile your answers to Q1b and Q1c.</t>
    <phoneticPr fontId="8" type="noConversion"/>
  </si>
  <si>
    <t xml:space="preserve">includes incremental investment in working capital. Discuss why she was either correct or incorrect not to </t>
    <phoneticPr fontId="8" type="noConversion"/>
  </si>
  <si>
    <t>Even though the board of directors uses this metric, it is defective. Explain why. HINT: FCF definition.</t>
    <phoneticPr fontId="8" type="noConversion"/>
  </si>
  <si>
    <t>and the revised (Q3) results, i.e., a summary table.</t>
    <phoneticPr fontId="8" type="noConversion"/>
  </si>
  <si>
    <t>Calculate the K-wacc for HCA using the template above. Enter the data that you</t>
    <phoneticPr fontId="8" type="noConversion"/>
  </si>
  <si>
    <t>have in the case and the table above. If you need additional data, assume it using</t>
    <phoneticPr fontId="8" type="noConversion"/>
  </si>
  <si>
    <t>your good judgment from what you have learned so far in the course.</t>
    <phoneticPr fontId="8" type="noConversion"/>
  </si>
  <si>
    <t>In the answer box, cite your result, compare it to the K-wacc used in the Q1</t>
    <phoneticPr fontId="8" type="noConversion"/>
  </si>
  <si>
    <t>analysis, and explain how your revised K-wacc would change the Q1 results.</t>
    <phoneticPr fontId="8" type="noConversion"/>
  </si>
  <si>
    <t>If LATC was a project in a for-profit hospital like HCA</t>
    <phoneticPr fontId="8" type="noConversion"/>
  </si>
  <si>
    <t>above, would the NPV be higher or lower? Explain 'analytically' by examining</t>
    <phoneticPr fontId="8" type="noConversion"/>
  </si>
  <si>
    <t>all relevant inputs to NPV.</t>
    <phoneticPr fontId="8" type="noConversion"/>
  </si>
  <si>
    <t>above, would the IRR be higher or lower? Explain.</t>
    <phoneticPr fontId="8" type="noConversion"/>
  </si>
  <si>
    <t>HINT: To avoid getting trapped by this question, make sure your answer is</t>
    <phoneticPr fontId="8" type="noConversion"/>
  </si>
  <si>
    <t xml:space="preserve">'analytical', i.e., examine all relevant inputs and output. </t>
    <phoneticPr fontId="8" type="noConversion"/>
  </si>
  <si>
    <t>Operating Expenses (fixed  + 7 % net rev)</t>
  </si>
  <si>
    <t>Management Fees (% net rev)</t>
  </si>
  <si>
    <t>Supplies, Drugs, Food (% net revenue)</t>
  </si>
  <si>
    <t>Annual Incr</t>
  </si>
  <si>
    <t>Total Net Revenue</t>
  </si>
  <si>
    <t>Less Uncollectable</t>
  </si>
  <si>
    <t>Indigent—bill per patient</t>
  </si>
  <si>
    <t>Other—bill per patient</t>
  </si>
  <si>
    <t>Commercial Payers—bill per day</t>
  </si>
  <si>
    <t>Medicaid—bill per patient</t>
  </si>
  <si>
    <t>Medicare—bill per patient</t>
  </si>
  <si>
    <t>Billing</t>
  </si>
  <si>
    <t>Patient Mix</t>
  </si>
  <si>
    <t xml:space="preserve">INSURANCE PAYER </t>
  </si>
  <si>
    <t>Operating Expense (% of Revenue)</t>
  </si>
  <si>
    <t>Annual Increase in Utilization</t>
  </si>
  <si>
    <t>Revenue and Cost Assumptions</t>
  </si>
  <si>
    <t>Free Cash Flow Projections</t>
  </si>
  <si>
    <t>Long Term Acute Care Hospital</t>
  </si>
  <si>
    <t>(000 omitted)</t>
    <phoneticPr fontId="8" type="noConversion"/>
  </si>
  <si>
    <t xml:space="preserve"> </t>
    <phoneticPr fontId="8" type="noConversion"/>
  </si>
  <si>
    <t>IRR</t>
    <phoneticPr fontId="8" type="noConversion"/>
  </si>
  <si>
    <t>NPV</t>
    <phoneticPr fontId="8" type="noConversion"/>
  </si>
  <si>
    <t>Results-NWC Recovery</t>
    <phoneticPr fontId="8" type="noConversion"/>
  </si>
  <si>
    <t>K-wacc</t>
    <phoneticPr fontId="8" type="noConversion"/>
  </si>
  <si>
    <t>(000 ommited)</t>
    <phoneticPr fontId="8" type="noConversion"/>
  </si>
  <si>
    <t>Results-No NWC Recovery</t>
    <phoneticPr fontId="8" type="noConversion"/>
  </si>
  <si>
    <t>NA</t>
    <phoneticPr fontId="8" type="noConversion"/>
  </si>
  <si>
    <t>Salary, Wage, Benefits (based on $ per employee)</t>
    <phoneticPr fontId="8" type="noConversion"/>
  </si>
  <si>
    <t>Year</t>
    <phoneticPr fontId="8" type="noConversion"/>
  </si>
  <si>
    <t xml:space="preserve">Calculate the  metrics of capital budgeting: Net Present Value, Profitability Index, </t>
  </si>
  <si>
    <t>Calculate cost of capital (k-wacc) to use as the discount rate</t>
  </si>
  <si>
    <t>Identify relevant incremental cash flows</t>
  </si>
  <si>
    <t>You will learn the three steps in capital budgeting:</t>
  </si>
  <si>
    <t>Learning Objectives</t>
    <phoneticPr fontId="0" type="noConversion"/>
  </si>
  <si>
    <t xml:space="preserve"> </t>
    <phoneticPr fontId="0" type="noConversion"/>
  </si>
  <si>
    <t>Study the Wk 3 Solutions Template before proceeding into Wk 4.</t>
  </si>
  <si>
    <t xml:space="preserve">Wk 4 is the second of two weeks on CAPITAL BUDGETING </t>
  </si>
  <si>
    <t>Case</t>
    <phoneticPr fontId="0" type="noConversion"/>
  </si>
  <si>
    <t>Number of Beds</t>
  </si>
  <si>
    <t xml:space="preserve">Year 1 Utilization </t>
  </si>
  <si>
    <t xml:space="preserve">Year 2 Utilization </t>
  </si>
  <si>
    <t xml:space="preserve"> </t>
  </si>
  <si>
    <t>Questions</t>
  </si>
  <si>
    <t xml:space="preserve"> 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</si>
  <si>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</si>
  <si>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</si>
  <si>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</si>
  <si>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</si>
  <si>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</si>
  <si>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</si>
  <si>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</si>
  <si>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</si>
  <si>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>Compare the decision metrics NPV &amp; IRR for the "no recovery of NWC" and "recovery of NWC" scenarios,</t>
    <phoneticPr fontId="8" type="noConversion"/>
  </si>
  <si>
    <t>stating which scenario best captures reality. Based on your answer, give the project a green or red light.</t>
    <phoneticPr fontId="8" type="noConversion"/>
  </si>
  <si>
    <t>Examine the decision metric 'profit margin', and explain if it leads to a green or red light for this project.</t>
    <phoneticPr fontId="8" type="noConversion"/>
  </si>
  <si>
    <t>Then, you will apply the metrics and information in the case study to make a recommendation</t>
  </si>
  <si>
    <t xml:space="preserve">Internal Rate of Return, and Payback Period. </t>
  </si>
  <si>
    <t>Read the case again, to grasp all the details, especially the Mulroney memo to her boss.</t>
    <phoneticPr fontId="8" type="noConversion"/>
  </si>
  <si>
    <t xml:space="preserve">U.S. Treasury Yields </t>
  </si>
  <si>
    <t>1-year</t>
  </si>
  <si>
    <t>5-year</t>
  </si>
  <si>
    <t>10-year</t>
  </si>
  <si>
    <t xml:space="preserve">30-year </t>
  </si>
  <si>
    <r>
      <t xml:space="preserve">Data source: </t>
    </r>
    <r>
      <rPr>
        <sz val="10"/>
        <color indexed="8"/>
        <rFont val="Times New Roman"/>
        <family val="1"/>
      </rPr>
      <t>http://federalreserve.gov/releases/h15/data.htm (accessed March 2006).</t>
    </r>
  </si>
  <si>
    <t>Corporate Bond Yields</t>
  </si>
  <si>
    <t>AAA</t>
  </si>
  <si>
    <t xml:space="preserve">AA </t>
  </si>
  <si>
    <t>A+</t>
  </si>
  <si>
    <t>A-</t>
  </si>
  <si>
    <t>BBB+</t>
  </si>
  <si>
    <t>BBB</t>
  </si>
  <si>
    <t>BBB-</t>
  </si>
  <si>
    <t>BB+</t>
  </si>
  <si>
    <t>BB-</t>
  </si>
  <si>
    <t>B+</t>
  </si>
  <si>
    <t>B-</t>
  </si>
  <si>
    <t>Data source: Bloomberg, “Fair Market Curve Analysis,” 10-Year Corporate Bonds, March 2, 2006.</t>
  </si>
  <si>
    <t>have that context in mind before reviewing the TVM chapter 4 (only if you need to).</t>
  </si>
  <si>
    <t>You need to know TVM to understand the capital budgeting metrics of NPV, PI, and IRR. Make sure you</t>
  </si>
  <si>
    <t>Net Profit/Net Revenue</t>
  </si>
  <si>
    <t>Net Profit (Operating Profit - Interest)</t>
  </si>
  <si>
    <t>IRR with Year 10 Recovery</t>
  </si>
  <si>
    <t>NPV with Year 10 Recovery</t>
  </si>
  <si>
    <t>Sale of Facility at Book Value</t>
  </si>
  <si>
    <t>NWC Recovery</t>
  </si>
  <si>
    <t>IRR (no recovery in year 10)</t>
  </si>
  <si>
    <t>NPV (no recovery in year 10)</t>
  </si>
  <si>
    <t>Free Cash Flows</t>
  </si>
  <si>
    <t>Less Increase in Net Working Capital</t>
  </si>
  <si>
    <t>Less Capital Expenditures</t>
  </si>
  <si>
    <t>Add Depreciation</t>
  </si>
  <si>
    <t xml:space="preserve">Free Cash Flows Calculation </t>
  </si>
  <si>
    <t>Change in NWC</t>
  </si>
  <si>
    <t>Net Working Capital</t>
  </si>
  <si>
    <t xml:space="preserve">30 days </t>
  </si>
  <si>
    <t>Accounts Payable</t>
  </si>
  <si>
    <t>60 days</t>
  </si>
  <si>
    <t>Inventory Supplies, Drugs, Food</t>
  </si>
  <si>
    <t xml:space="preserve">Accounts Receivable </t>
  </si>
  <si>
    <t>Notes:</t>
  </si>
  <si>
    <t>Operating Margin</t>
  </si>
  <si>
    <t>Operating Profit</t>
  </si>
  <si>
    <t>Total Expenses</t>
  </si>
  <si>
    <t>Depreciation (straight line 30yrs)</t>
  </si>
  <si>
    <t>Land Lease per year</t>
  </si>
  <si>
    <t xml:space="preserve">For-Profit Comparables </t>
  </si>
  <si>
    <t>HCA Inc</t>
  </si>
  <si>
    <t>Community Health</t>
  </si>
  <si>
    <t>Health Management Associates</t>
  </si>
  <si>
    <t>Revenues (millions)</t>
  </si>
  <si>
    <t>Assets (millions)</t>
  </si>
  <si>
    <t>Total debt (millions)</t>
  </si>
  <si>
    <t>Stock price ($/share)</t>
  </si>
  <si>
    <t>Shares outstanding (millions)</t>
  </si>
  <si>
    <t>Market cap (millions)</t>
  </si>
  <si>
    <t xml:space="preserve">Bond rating </t>
  </si>
  <si>
    <t>A</t>
  </si>
  <si>
    <t>B</t>
  </si>
  <si>
    <t>BB</t>
  </si>
  <si>
    <t xml:space="preserve">Beta </t>
  </si>
  <si>
    <t>e ÷ d+e</t>
  </si>
  <si>
    <t>Weighted-Average Cost of Capital</t>
  </si>
  <si>
    <t>(b8*b7)+(b15*b14)</t>
  </si>
  <si>
    <t>(k-d x wt-d)+(k-e x wt-e)</t>
  </si>
  <si>
    <t>Q2a</t>
    <phoneticPr fontId="8" type="noConversion"/>
  </si>
  <si>
    <t>Pages 83-85 show a worked-out example of a capital budgeting decision.</t>
    <phoneticPr fontId="8" type="noConversion"/>
  </si>
  <si>
    <t xml:space="preserve"> </t>
    <phoneticPr fontId="8" type="noConversion"/>
  </si>
  <si>
    <t xml:space="preserve">If you work with a group, write answers on your own, independently. Group answers violate academic integrity requirements. </t>
    <phoneticPr fontId="8" type="noConversion"/>
  </si>
  <si>
    <t>See Q1 tab.</t>
    <phoneticPr fontId="8" type="noConversion"/>
  </si>
  <si>
    <t xml:space="preserve"> </t>
    <phoneticPr fontId="8" type="noConversion"/>
  </si>
  <si>
    <t>Scroll down until you see the questions.</t>
    <phoneticPr fontId="8" type="noConversion"/>
  </si>
  <si>
    <t>Cohen Finance Workbook chapter 4 is a review of Time Value of Money, which you covered in a previous course.</t>
    <phoneticPr fontId="8" type="noConversion"/>
  </si>
  <si>
    <t>UVa Health System: The LATC Hospital Project</t>
    <phoneticPr fontId="8" type="noConversion"/>
  </si>
  <si>
    <t>VOLUME</t>
  </si>
  <si>
    <t xml:space="preserve">Patient Day Capacity </t>
  </si>
  <si>
    <t xml:space="preserve">Utilization </t>
  </si>
  <si>
    <t>Patient Days Used</t>
  </si>
  <si>
    <t>Average Patient Census per Day</t>
  </si>
  <si>
    <t xml:space="preserve">Average Length of Stay </t>
  </si>
  <si>
    <t>Number of Patients per Year</t>
  </si>
  <si>
    <t>Full-Time Employees/Census</t>
  </si>
  <si>
    <t>Full-Time Employees</t>
  </si>
  <si>
    <t>Medicare</t>
  </si>
  <si>
    <t>Medicaid</t>
  </si>
  <si>
    <t>Commercial Payers</t>
  </si>
  <si>
    <t>Other</t>
  </si>
  <si>
    <t>Indigent</t>
  </si>
  <si>
    <t>Total Revenue</t>
  </si>
  <si>
    <t>EXPENSES</t>
  </si>
  <si>
    <t>(repeated from Wk3 Assignment Template)</t>
    <phoneticPr fontId="8" type="noConversion"/>
  </si>
  <si>
    <t xml:space="preserve">Make a quick scan through the LTAC case and the exhibits. </t>
    <phoneticPr fontId="8" type="noConversion"/>
  </si>
  <si>
    <t>To understand how a capital budgeting template works, follow the step-by-step procedure in the book, pages 61-70</t>
    <phoneticPr fontId="8" type="noConversion"/>
  </si>
  <si>
    <t>Scan pages 70-76 on weighted average cost of capital. No need to emphasize at this point because discount rates are given in the case.</t>
    <phoneticPr fontId="8" type="noConversion"/>
  </si>
  <si>
    <t>(some repeating from Wk3 Assignment Template)</t>
    <phoneticPr fontId="8" type="noConversion"/>
  </si>
  <si>
    <t>Read pages 79-84 on NPV, PI, IRR, PP.</t>
    <phoneticPr fontId="8" type="noConversion"/>
  </si>
  <si>
    <t>Directions</t>
  </si>
  <si>
    <t>i.e., that the project is CREATES value, not DESTROYS value.</t>
  </si>
  <si>
    <t>that its prospective rate of return is high enough to justify the investment,</t>
  </si>
  <si>
    <t>The essence of the capital budgeting process is to make sure, before an investment is made,</t>
  </si>
  <si>
    <t>about which of the two projects to accept.</t>
  </si>
  <si>
    <t xml:space="preserve"> </t>
    <phoneticPr fontId="8" type="noConversion"/>
  </si>
  <si>
    <t>Mulroney did not use working capital cash flows in her original analysis. The analysis above</t>
    <phoneticPr fontId="8" type="noConversion"/>
  </si>
  <si>
    <t xml:space="preserve">include them. </t>
    <phoneticPr fontId="8" type="noConversion"/>
  </si>
  <si>
    <t>Q1a</t>
    <phoneticPr fontId="8" type="noConversion"/>
  </si>
  <si>
    <t>Q1b</t>
    <phoneticPr fontId="8" type="noConversion"/>
  </si>
  <si>
    <t xml:space="preserve"> </t>
    <phoneticPr fontId="8" type="noConversion"/>
  </si>
  <si>
    <t>Q1c</t>
    <phoneticPr fontId="8" type="noConversion"/>
  </si>
  <si>
    <t>Q2b</t>
    <phoneticPr fontId="8" type="noConversion"/>
  </si>
  <si>
    <t>Expect to revisit these calculations and decisions in Wk7.</t>
    <phoneticPr fontId="8" type="noConversion"/>
  </si>
  <si>
    <t>COMPUTE WEIGHTED AVERAGE COST OF CAPITAL</t>
  </si>
  <si>
    <t>BASIC:</t>
  </si>
  <si>
    <t>Formula</t>
  </si>
  <si>
    <t>Equation</t>
  </si>
  <si>
    <t>COST OF DEBT:</t>
  </si>
  <si>
    <t xml:space="preserve">   Coupon Rate</t>
  </si>
  <si>
    <t>given</t>
  </si>
  <si>
    <t xml:space="preserve">   Marginal Tax Rate</t>
  </si>
  <si>
    <t xml:space="preserve">   Cost of Debt</t>
  </si>
  <si>
    <t>b5*(1-b6)</t>
  </si>
  <si>
    <t>k-d = I x (1- t)</t>
  </si>
  <si>
    <t xml:space="preserve">      weight of debt</t>
  </si>
  <si>
    <t>d ÷ d+e</t>
  </si>
  <si>
    <t>COST OF EQUITY:</t>
  </si>
  <si>
    <t xml:space="preserve">   Risk-Free Rate</t>
  </si>
  <si>
    <t xml:space="preserve">   Risk Premium</t>
  </si>
  <si>
    <t>R-m - R-f</t>
  </si>
  <si>
    <t xml:space="preserve">   Beta</t>
  </si>
  <si>
    <t xml:space="preserve">   Cost of Equity</t>
  </si>
  <si>
    <t>b11+(b13*b12)</t>
  </si>
  <si>
    <t>k-e = R-f + [ß x (R-m - R-f)]</t>
  </si>
  <si>
    <t xml:space="preserve">       weight of equity</t>
  </si>
  <si>
    <t>1-b8</t>
  </si>
  <si>
    <t xml:space="preserve">        The 1st term is income statement data; the 2nd &amp; 3rd terms are balance sheet data.</t>
    <phoneticPr fontId="8" type="noConversion"/>
  </si>
  <si>
    <t>The template calculates FREE CASH FLOW=[EBIT-TAX+DEPREC]+/-CHANGE NWC+/-CAPEX.</t>
    <phoneticPr fontId="8" type="noConversion"/>
  </si>
  <si>
    <t>LEARN THIS FORMULA (EQUATION) COLD!</t>
    <phoneticPr fontId="8" type="noConversion"/>
  </si>
  <si>
    <t>from the case.</t>
    <phoneticPr fontId="8" type="noConversion"/>
  </si>
  <si>
    <t>Q3b</t>
    <phoneticPr fontId="8" type="noConversion"/>
  </si>
  <si>
    <t>Q2c</t>
    <phoneticPr fontId="8" type="noConversion"/>
  </si>
  <si>
    <t>Q2d</t>
    <phoneticPr fontId="8" type="noConversion"/>
  </si>
  <si>
    <t>SEE THE FLOW DIAGRAM - YOU ARE NOW WORKING ON THE GREEN-COLORED ANALYSIS.</t>
    <phoneticPr fontId="8" type="noConversion"/>
  </si>
  <si>
    <t>Case Exhibit 4</t>
    <phoneticPr fontId="8" type="noConversion"/>
  </si>
  <si>
    <t>See Q2 tab.</t>
    <phoneticPr fontId="8" type="noConversion"/>
  </si>
  <si>
    <t>See Q3 tab.</t>
    <phoneticPr fontId="8" type="noConversion"/>
  </si>
  <si>
    <t>Capital Budgeting Template</t>
    <phoneticPr fontId="8" type="noConversion"/>
  </si>
  <si>
    <t>K-wacc</t>
    <phoneticPr fontId="8" type="noConversion"/>
  </si>
  <si>
    <t>Sensitivity Analysis</t>
    <phoneticPr fontId="8" type="noConversion"/>
  </si>
  <si>
    <t>Q3a</t>
    <phoneticPr fontId="8" type="noConversion"/>
  </si>
  <si>
    <t xml:space="preserve">The analysis above is identical to the one on the Q1 tab. </t>
    <phoneticPr fontId="8" type="noConversion"/>
  </si>
  <si>
    <t>Do a sensitivity analysis by systematically changing certain assumptions in the spreadsheet above:</t>
    <phoneticPr fontId="8" type="noConversion"/>
  </si>
  <si>
    <t>change the K-wacc to 8.3%</t>
    <phoneticPr fontId="8" type="noConversion"/>
  </si>
  <si>
    <t>change year 2 utilization to 45%</t>
    <phoneticPr fontId="8" type="noConversion"/>
  </si>
  <si>
    <t>change commercial payers to 30% of patient mix</t>
    <phoneticPr fontId="8" type="noConversion"/>
  </si>
  <si>
    <t>Use the answer box to prepare a summary of the original (Q1) results</t>
    <phoneticPr fontId="8" type="noConversion"/>
  </si>
  <si>
    <t>Revise the decision you made in Q1 based on the above sensitivity analysis, comparing Mulroney's</t>
    <phoneticPr fontId="8" type="noConversion"/>
  </si>
  <si>
    <t>assumptions and the sensitivity analysis assumptions to expectations stated in the case.</t>
    <phoneticPr fontId="8" type="noConversion"/>
  </si>
  <si>
    <t>Be sure to consider both 'hard quantitative data" from decision metrics and 'soft qualitative information'</t>
    <phoneticPr fontId="8" type="noConversion"/>
  </si>
  <si>
    <t>Q1d</t>
    <phoneticPr fontId="8" type="noConversion"/>
  </si>
  <si>
    <t>Review it as necessary, but defer the review until you look at the TVM applications in chapter 5 beginning on p 79.</t>
  </si>
  <si>
    <t>Mulroney did not use working capital cash flows in order to show the unlevered cash flow (CF) or CF without financing. She omitted</t>
  </si>
  <si>
    <t xml:space="preserve">the interest expense. Without net working capital, she cannot correctly estimate the net working capital (NWC). The NWC rises with </t>
  </si>
  <si>
    <t xml:space="preserve">a new project such as acute care hosptal since increased volume of business will lead to increased revenue generated. Thus, increase in </t>
  </si>
  <si>
    <t xml:space="preserve">revenue will increase NWC. In C73, the NPV is $5,687 since does not include NWC, it is much less than NPV with NWC which is C80 </t>
  </si>
  <si>
    <t xml:space="preserve">and is $10,425. Thus, the incremental increase in NPV is important in estimating the net present value of the business. Similarly, IPV </t>
  </si>
  <si>
    <t>must also use NWC otherwise the rate of return is underestimated, i.e., 17.6% (C74) vs. 21.2% (C81).</t>
  </si>
</sst>
</file>

<file path=xl/styles.xml><?xml version="1.0" encoding="utf-8"?>
<styleSheet xmlns="http://schemas.openxmlformats.org/spreadsheetml/2006/main">
  <numFmts count="12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_);\(#,##0.0\)"/>
    <numFmt numFmtId="167" formatCode="#,##0.0_);[Red]\(#,##0.0\)"/>
    <numFmt numFmtId="168" formatCode="&quot;$&quot;#,##0.0_);[Red]\(&quot;$&quot;#,##0.0\)"/>
    <numFmt numFmtId="169" formatCode="0.0"/>
    <numFmt numFmtId="170" formatCode="#,##0.000_);\(#,##0.000\)"/>
    <numFmt numFmtId="171" formatCode="_(* #,##0.0_);_(* \(#,##0.0\);_(* &quot;-&quot;??_);_(@_)"/>
  </numFmts>
  <fonts count="36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u/>
      <sz val="12"/>
      <color indexed="12"/>
      <name val="Times New Roman"/>
      <family val="1"/>
    </font>
    <font>
      <u/>
      <sz val="11"/>
      <color indexed="12"/>
      <name val="Calibri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u val="singleAccounting"/>
      <sz val="11"/>
      <name val="Times New Roman"/>
      <family val="1"/>
    </font>
    <font>
      <u/>
      <sz val="11"/>
      <name val="Times New Roman"/>
      <family val="1"/>
    </font>
    <font>
      <b/>
      <u/>
      <sz val="14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u/>
      <sz val="12"/>
      <color theme="1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0"/>
    <xf numFmtId="0" fontId="7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239">
    <xf numFmtId="0" fontId="0" fillId="0" borderId="0" xfId="0"/>
    <xf numFmtId="0" fontId="7" fillId="0" borderId="0" xfId="5"/>
    <xf numFmtId="0" fontId="9" fillId="0" borderId="0" xfId="5" applyFont="1"/>
    <xf numFmtId="0" fontId="6" fillId="0" borderId="0" xfId="4" applyFont="1"/>
    <xf numFmtId="0" fontId="5" fillId="0" borderId="0" xfId="4" applyFont="1"/>
    <xf numFmtId="0" fontId="11" fillId="0" borderId="0" xfId="5" applyFont="1"/>
    <xf numFmtId="0" fontId="6" fillId="0" borderId="0" xfId="0" applyFont="1"/>
    <xf numFmtId="0" fontId="9" fillId="0" borderId="0" xfId="5" applyFont="1" applyFill="1"/>
    <xf numFmtId="0" fontId="12" fillId="0" borderId="0" xfId="5" applyFont="1"/>
    <xf numFmtId="0" fontId="13" fillId="0" borderId="0" xfId="5" applyFont="1"/>
    <xf numFmtId="0" fontId="14" fillId="0" borderId="0" xfId="4" applyFont="1"/>
    <xf numFmtId="0" fontId="15" fillId="0" borderId="0" xfId="4" applyFont="1"/>
    <xf numFmtId="0" fontId="17" fillId="0" borderId="0" xfId="0" applyFont="1"/>
    <xf numFmtId="10" fontId="17" fillId="0" borderId="0" xfId="0" applyNumberFormat="1" applyFont="1"/>
    <xf numFmtId="0" fontId="16" fillId="0" borderId="10" xfId="4" applyFont="1" applyBorder="1" applyAlignment="1">
      <alignment wrapText="1"/>
    </xf>
    <xf numFmtId="6" fontId="16" fillId="0" borderId="10" xfId="4" applyNumberFormat="1" applyFont="1" applyBorder="1" applyAlignment="1">
      <alignment horizontal="right" indent="2"/>
    </xf>
    <xf numFmtId="8" fontId="16" fillId="0" borderId="10" xfId="4" applyNumberFormat="1" applyFont="1" applyBorder="1" applyAlignment="1">
      <alignment horizontal="right" indent="2"/>
    </xf>
    <xf numFmtId="169" fontId="16" fillId="0" borderId="10" xfId="4" applyNumberFormat="1" applyFont="1" applyBorder="1" applyAlignment="1">
      <alignment horizontal="right" indent="3"/>
    </xf>
    <xf numFmtId="0" fontId="16" fillId="0" borderId="10" xfId="4" applyFont="1" applyBorder="1" applyAlignment="1">
      <alignment horizontal="center"/>
    </xf>
    <xf numFmtId="2" fontId="16" fillId="0" borderId="10" xfId="4" applyNumberFormat="1" applyFont="1" applyBorder="1" applyAlignment="1">
      <alignment horizontal="center"/>
    </xf>
    <xf numFmtId="10" fontId="15" fillId="0" borderId="10" xfId="7" applyNumberFormat="1" applyFont="1" applyBorder="1" applyAlignment="1">
      <alignment horizontal="center"/>
    </xf>
    <xf numFmtId="37" fontId="16" fillId="0" borderId="0" xfId="0" applyNumberFormat="1" applyFont="1" applyFill="1"/>
    <xf numFmtId="37" fontId="16" fillId="0" borderId="0" xfId="0" applyNumberFormat="1" applyFont="1" applyFill="1" applyBorder="1"/>
    <xf numFmtId="164" fontId="16" fillId="0" borderId="0" xfId="6" applyNumberFormat="1" applyFont="1" applyFill="1"/>
    <xf numFmtId="38" fontId="16" fillId="0" borderId="0" xfId="2" applyNumberFormat="1" applyFont="1" applyFill="1" applyBorder="1"/>
    <xf numFmtId="164" fontId="16" fillId="0" borderId="0" xfId="6" applyNumberFormat="1" applyFont="1" applyFill="1" applyBorder="1"/>
    <xf numFmtId="6" fontId="16" fillId="0" borderId="0" xfId="2" applyNumberFormat="1" applyFont="1" applyFill="1" applyBorder="1"/>
    <xf numFmtId="37" fontId="16" fillId="0" borderId="0" xfId="0" applyNumberFormat="1" applyFont="1" applyFill="1" applyAlignment="1">
      <alignment horizontal="center" vertical="center"/>
    </xf>
    <xf numFmtId="37" fontId="21" fillId="0" borderId="0" xfId="0" applyNumberFormat="1" applyFont="1" applyFill="1" applyBorder="1" applyAlignment="1">
      <alignment horizontal="center"/>
    </xf>
    <xf numFmtId="37" fontId="16" fillId="0" borderId="0" xfId="0" applyNumberFormat="1" applyFont="1" applyFill="1" applyBorder="1" applyAlignment="1">
      <alignment horizontal="left" indent="1"/>
    </xf>
    <xf numFmtId="170" fontId="16" fillId="0" borderId="0" xfId="0" applyNumberFormat="1" applyFont="1" applyFill="1" applyBorder="1"/>
    <xf numFmtId="38" fontId="16" fillId="0" borderId="9" xfId="2" applyNumberFormat="1" applyFont="1" applyFill="1" applyBorder="1"/>
    <xf numFmtId="37" fontId="16" fillId="0" borderId="9" xfId="0" applyNumberFormat="1" applyFont="1" applyFill="1" applyBorder="1"/>
    <xf numFmtId="165" fontId="16" fillId="0" borderId="0" xfId="1" applyNumberFormat="1" applyFont="1" applyFill="1" applyBorder="1"/>
    <xf numFmtId="6" fontId="16" fillId="0" borderId="0" xfId="2" applyNumberFormat="1" applyFont="1" applyFill="1"/>
    <xf numFmtId="168" fontId="16" fillId="0" borderId="0" xfId="2" applyNumberFormat="1" applyFont="1" applyFill="1" applyBorder="1"/>
    <xf numFmtId="37" fontId="16" fillId="0" borderId="0" xfId="0" applyNumberFormat="1" applyFont="1" applyFill="1" applyBorder="1" applyAlignment="1">
      <alignment horizontal="left"/>
    </xf>
    <xf numFmtId="165" fontId="22" fillId="0" borderId="0" xfId="1" applyNumberFormat="1" applyFont="1" applyFill="1" applyBorder="1"/>
    <xf numFmtId="6" fontId="22" fillId="0" borderId="0" xfId="2" applyNumberFormat="1" applyFont="1" applyFill="1"/>
    <xf numFmtId="168" fontId="22" fillId="0" borderId="0" xfId="2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43" fontId="16" fillId="0" borderId="0" xfId="1" applyNumberFormat="1" applyFont="1" applyFill="1" applyBorder="1"/>
    <xf numFmtId="9" fontId="16" fillId="0" borderId="0" xfId="2" applyNumberFormat="1" applyFont="1" applyFill="1" applyBorder="1"/>
    <xf numFmtId="6" fontId="16" fillId="0" borderId="0" xfId="6" applyNumberFormat="1" applyFont="1" applyFill="1" applyBorder="1"/>
    <xf numFmtId="38" fontId="16" fillId="0" borderId="0" xfId="1" applyNumberFormat="1" applyFont="1" applyFill="1" applyBorder="1" applyAlignment="1">
      <alignment horizontal="center"/>
    </xf>
    <xf numFmtId="9" fontId="16" fillId="0" borderId="0" xfId="6" applyNumberFormat="1" applyFont="1" applyFill="1" applyBorder="1" applyAlignment="1">
      <alignment horizontal="center"/>
    </xf>
    <xf numFmtId="6" fontId="16" fillId="0" borderId="0" xfId="6" applyNumberFormat="1" applyFont="1" applyFill="1" applyBorder="1" applyAlignment="1">
      <alignment horizontal="center"/>
    </xf>
    <xf numFmtId="37" fontId="16" fillId="0" borderId="0" xfId="0" applyNumberFormat="1" applyFont="1" applyFill="1" applyBorder="1" applyAlignment="1"/>
    <xf numFmtId="9" fontId="16" fillId="0" borderId="0" xfId="2" applyNumberFormat="1" applyFont="1" applyFill="1" applyBorder="1" applyAlignment="1">
      <alignment horizontal="center"/>
    </xf>
    <xf numFmtId="37" fontId="16" fillId="0" borderId="0" xfId="0" applyNumberFormat="1" applyFont="1" applyFill="1" applyAlignment="1">
      <alignment horizontal="center"/>
    </xf>
    <xf numFmtId="9" fontId="16" fillId="0" borderId="0" xfId="6" applyNumberFormat="1" applyFont="1" applyFill="1" applyBorder="1"/>
    <xf numFmtId="165" fontId="23" fillId="0" borderId="0" xfId="1" applyNumberFormat="1" applyFont="1" applyFill="1" applyBorder="1"/>
    <xf numFmtId="9" fontId="16" fillId="0" borderId="0" xfId="6" applyFont="1" applyFill="1" applyAlignment="1">
      <alignment horizontal="center"/>
    </xf>
    <xf numFmtId="164" fontId="16" fillId="0" borderId="0" xfId="2" applyNumberFormat="1" applyFont="1" applyFill="1" applyBorder="1"/>
    <xf numFmtId="37" fontId="24" fillId="0" borderId="0" xfId="0" applyNumberFormat="1" applyFont="1" applyFill="1" applyAlignment="1">
      <alignment horizontal="center"/>
    </xf>
    <xf numFmtId="37" fontId="22" fillId="0" borderId="0" xfId="0" applyNumberFormat="1" applyFont="1" applyFill="1"/>
    <xf numFmtId="167" fontId="16" fillId="0" borderId="0" xfId="0" applyNumberFormat="1" applyFont="1" applyFill="1" applyAlignment="1"/>
    <xf numFmtId="167" fontId="16" fillId="0" borderId="0" xfId="0" applyNumberFormat="1" applyFont="1" applyFill="1" applyBorder="1" applyAlignment="1"/>
    <xf numFmtId="40" fontId="16" fillId="0" borderId="0" xfId="1" applyNumberFormat="1" applyFont="1" applyFill="1" applyBorder="1" applyAlignment="1"/>
    <xf numFmtId="167" fontId="16" fillId="0" borderId="0" xfId="0" applyNumberFormat="1" applyFont="1" applyFill="1" applyAlignment="1">
      <alignment horizontal="center"/>
    </xf>
    <xf numFmtId="167" fontId="22" fillId="0" borderId="0" xfId="0" applyNumberFormat="1" applyFont="1" applyFill="1" applyBorder="1" applyAlignment="1"/>
    <xf numFmtId="9" fontId="22" fillId="0" borderId="0" xfId="2" applyNumberFormat="1" applyFont="1" applyFill="1" applyBorder="1"/>
    <xf numFmtId="9" fontId="22" fillId="0" borderId="0" xfId="6" applyNumberFormat="1" applyFont="1" applyFill="1" applyBorder="1"/>
    <xf numFmtId="167" fontId="22" fillId="0" borderId="0" xfId="0" applyNumberFormat="1" applyFont="1" applyFill="1" applyBorder="1" applyAlignment="1">
      <alignment horizontal="right"/>
    </xf>
    <xf numFmtId="165" fontId="16" fillId="0" borderId="9" xfId="1" applyNumberFormat="1" applyFont="1" applyFill="1" applyBorder="1"/>
    <xf numFmtId="9" fontId="16" fillId="0" borderId="9" xfId="2" applyNumberFormat="1" applyFont="1" applyFill="1" applyBorder="1"/>
    <xf numFmtId="9" fontId="16" fillId="0" borderId="9" xfId="6" applyNumberFormat="1" applyFont="1" applyFill="1" applyBorder="1" applyAlignment="1">
      <alignment horizontal="center"/>
    </xf>
    <xf numFmtId="37" fontId="16" fillId="0" borderId="9" xfId="0" applyNumberFormat="1" applyFont="1" applyFill="1" applyBorder="1" applyAlignment="1">
      <alignment horizontal="left"/>
    </xf>
    <xf numFmtId="167" fontId="22" fillId="0" borderId="0" xfId="0" applyNumberFormat="1" applyFont="1" applyFill="1" applyAlignment="1"/>
    <xf numFmtId="165" fontId="22" fillId="0" borderId="0" xfId="6" applyNumberFormat="1" applyFont="1" applyFill="1" applyBorder="1"/>
    <xf numFmtId="9" fontId="22" fillId="0" borderId="0" xfId="6" applyFont="1" applyFill="1" applyBorder="1"/>
    <xf numFmtId="165" fontId="16" fillId="0" borderId="9" xfId="6" applyNumberFormat="1" applyFont="1" applyFill="1" applyBorder="1"/>
    <xf numFmtId="164" fontId="16" fillId="0" borderId="9" xfId="6" applyNumberFormat="1" applyFont="1" applyFill="1" applyBorder="1" applyAlignment="1">
      <alignment horizontal="center"/>
    </xf>
    <xf numFmtId="6" fontId="16" fillId="0" borderId="9" xfId="6" applyNumberFormat="1" applyFont="1" applyFill="1" applyBorder="1" applyAlignment="1">
      <alignment horizontal="center"/>
    </xf>
    <xf numFmtId="6" fontId="16" fillId="0" borderId="9" xfId="6" applyNumberFormat="1" applyFont="1" applyFill="1" applyBorder="1" applyAlignment="1">
      <alignment horizontal="right"/>
    </xf>
    <xf numFmtId="167" fontId="16" fillId="0" borderId="9" xfId="0" applyNumberFormat="1" applyFont="1" applyFill="1" applyBorder="1" applyAlignment="1"/>
    <xf numFmtId="165" fontId="16" fillId="0" borderId="0" xfId="6" applyNumberFormat="1" applyFont="1" applyFill="1" applyBorder="1"/>
    <xf numFmtId="164" fontId="16" fillId="0" borderId="0" xfId="6" applyNumberFormat="1" applyFont="1" applyFill="1" applyAlignment="1">
      <alignment horizontal="center"/>
    </xf>
    <xf numFmtId="6" fontId="16" fillId="0" borderId="0" xfId="6" applyNumberFormat="1" applyFont="1" applyFill="1" applyBorder="1" applyAlignment="1">
      <alignment horizontal="right"/>
    </xf>
    <xf numFmtId="9" fontId="16" fillId="0" borderId="0" xfId="6" applyFont="1" applyFill="1"/>
    <xf numFmtId="9" fontId="16" fillId="0" borderId="0" xfId="6" applyFont="1" applyFill="1" applyBorder="1"/>
    <xf numFmtId="165" fontId="16" fillId="0" borderId="0" xfId="1" applyNumberFormat="1" applyFont="1" applyFill="1" applyBorder="1" applyAlignment="1">
      <alignment horizontal="center"/>
    </xf>
    <xf numFmtId="37" fontId="24" fillId="0" borderId="0" xfId="0" applyNumberFormat="1" applyFont="1" applyFill="1" applyBorder="1"/>
    <xf numFmtId="9" fontId="16" fillId="0" borderId="0" xfId="6" applyFont="1" applyFill="1" applyBorder="1" applyAlignment="1">
      <alignment horizontal="center"/>
    </xf>
    <xf numFmtId="9" fontId="16" fillId="0" borderId="0" xfId="6" applyFont="1" applyFill="1" applyBorder="1" applyAlignment="1">
      <alignment horizontal="right"/>
    </xf>
    <xf numFmtId="166" fontId="16" fillId="0" borderId="0" xfId="0" applyNumberFormat="1" applyFont="1" applyFill="1" applyBorder="1"/>
    <xf numFmtId="171" fontId="16" fillId="0" borderId="0" xfId="1" applyNumberFormat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center"/>
    </xf>
    <xf numFmtId="164" fontId="16" fillId="0" borderId="0" xfId="6" applyNumberFormat="1" applyFont="1" applyFill="1" applyBorder="1" applyAlignment="1">
      <alignment horizontal="center"/>
    </xf>
    <xf numFmtId="0" fontId="16" fillId="0" borderId="0" xfId="0" applyFont="1" applyFill="1"/>
    <xf numFmtId="9" fontId="16" fillId="0" borderId="0" xfId="6" applyFont="1" applyFill="1" applyBorder="1" applyAlignment="1">
      <alignment horizontal="left" indent="1"/>
    </xf>
    <xf numFmtId="0" fontId="22" fillId="0" borderId="0" xfId="0" applyFont="1" applyFill="1"/>
    <xf numFmtId="37" fontId="22" fillId="0" borderId="0" xfId="0" applyNumberFormat="1" applyFont="1" applyFill="1" applyBorder="1"/>
    <xf numFmtId="38" fontId="22" fillId="0" borderId="0" xfId="2" applyNumberFormat="1" applyFont="1" applyFill="1" applyBorder="1"/>
    <xf numFmtId="0" fontId="16" fillId="0" borderId="4" xfId="0" applyFont="1" applyFill="1" applyBorder="1"/>
    <xf numFmtId="37" fontId="16" fillId="0" borderId="4" xfId="0" applyNumberFormat="1" applyFont="1" applyFill="1" applyBorder="1"/>
    <xf numFmtId="0" fontId="21" fillId="0" borderId="1" xfId="0" applyFont="1" applyFill="1" applyBorder="1"/>
    <xf numFmtId="164" fontId="16" fillId="0" borderId="0" xfId="6" applyNumberFormat="1" applyFont="1" applyFill="1" applyBorder="1" applyAlignment="1">
      <alignment horizontal="left" indent="1"/>
    </xf>
    <xf numFmtId="37" fontId="16" fillId="0" borderId="3" xfId="0" applyNumberFormat="1" applyFont="1" applyFill="1" applyBorder="1" applyAlignment="1">
      <alignment horizontal="center"/>
    </xf>
    <xf numFmtId="0" fontId="16" fillId="0" borderId="5" xfId="0" applyFont="1" applyFill="1" applyBorder="1" applyAlignment="1">
      <alignment horizontal="right"/>
    </xf>
    <xf numFmtId="9" fontId="16" fillId="0" borderId="5" xfId="6" applyFont="1" applyFill="1" applyBorder="1" applyAlignment="1">
      <alignment horizontal="right"/>
    </xf>
    <xf numFmtId="37" fontId="21" fillId="0" borderId="1" xfId="0" applyNumberFormat="1" applyFont="1" applyFill="1" applyBorder="1"/>
    <xf numFmtId="37" fontId="22" fillId="0" borderId="3" xfId="0" applyNumberFormat="1" applyFont="1" applyFill="1" applyBorder="1"/>
    <xf numFmtId="37" fontId="22" fillId="0" borderId="4" xfId="0" applyNumberFormat="1" applyFont="1" applyFill="1" applyBorder="1"/>
    <xf numFmtId="6" fontId="22" fillId="0" borderId="5" xfId="2" applyNumberFormat="1" applyFont="1" applyFill="1" applyBorder="1" applyAlignment="1">
      <alignment horizontal="right" vertical="center"/>
    </xf>
    <xf numFmtId="37" fontId="22" fillId="0" borderId="6" xfId="0" applyNumberFormat="1" applyFont="1" applyFill="1" applyBorder="1"/>
    <xf numFmtId="37" fontId="22" fillId="0" borderId="1" xfId="0" applyNumberFormat="1" applyFont="1" applyFill="1" applyBorder="1"/>
    <xf numFmtId="6" fontId="22" fillId="0" borderId="3" xfId="2" applyNumberFormat="1" applyFont="1" applyFill="1" applyBorder="1"/>
    <xf numFmtId="164" fontId="22" fillId="0" borderId="8" xfId="6" applyNumberFormat="1" applyFont="1" applyFill="1" applyBorder="1"/>
    <xf numFmtId="164" fontId="22" fillId="0" borderId="8" xfId="6" applyNumberFormat="1" applyFont="1" applyFill="1" applyBorder="1" applyAlignment="1">
      <alignment horizontal="right" vertical="center"/>
    </xf>
    <xf numFmtId="0" fontId="16" fillId="0" borderId="0" xfId="0" applyFont="1" applyFill="1" applyProtection="1">
      <protection locked="0"/>
    </xf>
    <xf numFmtId="37" fontId="22" fillId="0" borderId="11" xfId="0" applyNumberFormat="1" applyFont="1" applyFill="1" applyBorder="1" applyProtection="1">
      <protection locked="0"/>
    </xf>
    <xf numFmtId="9" fontId="16" fillId="0" borderId="0" xfId="6" applyFont="1" applyFill="1" applyBorder="1" applyAlignment="1" applyProtection="1">
      <alignment horizontal="center"/>
      <protection locked="0"/>
    </xf>
    <xf numFmtId="37" fontId="16" fillId="0" borderId="0" xfId="0" applyNumberFormat="1" applyFont="1" applyFill="1" applyBorder="1" applyProtection="1">
      <protection locked="0"/>
    </xf>
    <xf numFmtId="37" fontId="16" fillId="0" borderId="0" xfId="0" applyNumberFormat="1" applyFont="1" applyFill="1" applyProtection="1">
      <protection locked="0"/>
    </xf>
    <xf numFmtId="9" fontId="16" fillId="0" borderId="0" xfId="6" applyFont="1" applyFill="1" applyProtection="1">
      <protection locked="0"/>
    </xf>
    <xf numFmtId="37" fontId="21" fillId="0" borderId="0" xfId="0" applyNumberFormat="1" applyFont="1" applyFill="1"/>
    <xf numFmtId="37" fontId="21" fillId="0" borderId="0" xfId="0" applyNumberFormat="1" applyFont="1" applyFill="1" applyAlignment="1">
      <alignment horizontal="center"/>
    </xf>
    <xf numFmtId="37" fontId="22" fillId="0" borderId="0" xfId="0" quotePrefix="1" applyNumberFormat="1" applyFont="1" applyFill="1" applyBorder="1"/>
    <xf numFmtId="0" fontId="13" fillId="0" borderId="0" xfId="4" applyFont="1"/>
    <xf numFmtId="0" fontId="22" fillId="0" borderId="4" xfId="0" applyFont="1" applyFill="1" applyBorder="1"/>
    <xf numFmtId="9" fontId="16" fillId="0" borderId="12" xfId="6" applyFont="1" applyFill="1" applyBorder="1" applyProtection="1">
      <protection locked="0"/>
    </xf>
    <xf numFmtId="165" fontId="16" fillId="0" borderId="0" xfId="0" applyNumberFormat="1" applyFont="1" applyFill="1" applyBorder="1"/>
    <xf numFmtId="9" fontId="16" fillId="0" borderId="0" xfId="6" applyFont="1" applyFill="1" applyBorder="1" applyProtection="1">
      <protection locked="0"/>
    </xf>
    <xf numFmtId="37" fontId="16" fillId="0" borderId="0" xfId="0" applyNumberFormat="1" applyFont="1" applyFill="1" applyBorder="1"/>
    <xf numFmtId="0" fontId="22" fillId="0" borderId="0" xfId="0" applyFont="1" applyFill="1" applyBorder="1"/>
    <xf numFmtId="37" fontId="21" fillId="0" borderId="0" xfId="0" applyNumberFormat="1" applyFont="1" applyFill="1" applyBorder="1"/>
    <xf numFmtId="0" fontId="16" fillId="0" borderId="0" xfId="0" applyFont="1" applyFill="1" applyBorder="1"/>
    <xf numFmtId="167" fontId="16" fillId="0" borderId="0" xfId="0" applyNumberFormat="1" applyFont="1" applyFill="1" applyBorder="1" applyAlignment="1">
      <alignment horizontal="center"/>
    </xf>
    <xf numFmtId="37" fontId="24" fillId="0" borderId="0" xfId="0" applyNumberFormat="1" applyFont="1" applyFill="1" applyBorder="1" applyAlignment="1">
      <alignment horizontal="center"/>
    </xf>
    <xf numFmtId="0" fontId="0" fillId="0" borderId="0" xfId="0" applyFill="1"/>
    <xf numFmtId="164" fontId="16" fillId="0" borderId="5" xfId="6" applyNumberFormat="1" applyFont="1" applyFill="1" applyBorder="1" applyAlignment="1">
      <alignment horizontal="right"/>
    </xf>
    <xf numFmtId="0" fontId="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2" fillId="0" borderId="10" xfId="4" applyFont="1" applyBorder="1" applyAlignment="1">
      <alignment horizontal="center" wrapText="1"/>
    </xf>
    <xf numFmtId="0" fontId="22" fillId="0" borderId="10" xfId="4" applyFont="1" applyFill="1" applyBorder="1"/>
    <xf numFmtId="0" fontId="22" fillId="0" borderId="10" xfId="4" applyFont="1" applyBorder="1"/>
    <xf numFmtId="0" fontId="0" fillId="0" borderId="0" xfId="0" applyAlignment="1">
      <alignment horizontal="right"/>
    </xf>
    <xf numFmtId="0" fontId="3" fillId="0" borderId="0" xfId="0" applyFont="1"/>
    <xf numFmtId="37" fontId="27" fillId="0" borderId="0" xfId="0" applyNumberFormat="1" applyFont="1" applyFill="1"/>
    <xf numFmtId="37" fontId="27" fillId="0" borderId="0" xfId="0" applyNumberFormat="1" applyFont="1" applyFill="1" applyBorder="1"/>
    <xf numFmtId="0" fontId="28" fillId="0" borderId="0" xfId="0" applyFont="1" applyFill="1"/>
    <xf numFmtId="0" fontId="28" fillId="0" borderId="0" xfId="0" applyFont="1"/>
    <xf numFmtId="0" fontId="29" fillId="0" borderId="0" xfId="0" applyFont="1"/>
    <xf numFmtId="37" fontId="29" fillId="0" borderId="0" xfId="0" applyNumberFormat="1" applyFont="1" applyFill="1"/>
    <xf numFmtId="0" fontId="3" fillId="0" borderId="0" xfId="0" applyFont="1" applyFill="1"/>
    <xf numFmtId="0" fontId="28" fillId="2" borderId="6" xfId="0" applyFont="1" applyFill="1" applyBorder="1"/>
    <xf numFmtId="0" fontId="28" fillId="2" borderId="7" xfId="0" applyFont="1" applyFill="1" applyBorder="1"/>
    <xf numFmtId="0" fontId="28" fillId="2" borderId="8" xfId="0" applyFont="1" applyFill="1" applyBorder="1"/>
    <xf numFmtId="0" fontId="28" fillId="2" borderId="1" xfId="0" applyFont="1" applyFill="1" applyBorder="1"/>
    <xf numFmtId="0" fontId="28" fillId="2" borderId="2" xfId="0" applyFont="1" applyFill="1" applyBorder="1"/>
    <xf numFmtId="0" fontId="28" fillId="2" borderId="3" xfId="0" applyFont="1" applyFill="1" applyBorder="1"/>
    <xf numFmtId="0" fontId="28" fillId="2" borderId="4" xfId="0" applyFont="1" applyFill="1" applyBorder="1"/>
    <xf numFmtId="0" fontId="28" fillId="2" borderId="0" xfId="0" applyFont="1" applyFill="1" applyBorder="1"/>
    <xf numFmtId="0" fontId="28" fillId="2" borderId="5" xfId="0" applyFont="1" applyFill="1" applyBorder="1"/>
    <xf numFmtId="0" fontId="29" fillId="0" borderId="0" xfId="4" applyFont="1" applyFill="1" applyBorder="1" applyAlignment="1">
      <alignment horizontal="right"/>
    </xf>
    <xf numFmtId="0" fontId="30" fillId="0" borderId="0" xfId="0" applyFont="1"/>
    <xf numFmtId="0" fontId="0" fillId="2" borderId="1" xfId="0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0" fillId="2" borderId="4" xfId="0" applyFill="1" applyBorder="1"/>
    <xf numFmtId="0" fontId="30" fillId="2" borderId="0" xfId="0" applyFont="1" applyFill="1" applyBorder="1"/>
    <xf numFmtId="0" fontId="30" fillId="2" borderId="5" xfId="0" applyFont="1" applyFill="1" applyBorder="1"/>
    <xf numFmtId="0" fontId="30" fillId="2" borderId="4" xfId="0" applyFont="1" applyFill="1" applyBorder="1"/>
    <xf numFmtId="0" fontId="30" fillId="2" borderId="6" xfId="0" applyFont="1" applyFill="1" applyBorder="1"/>
    <xf numFmtId="0" fontId="30" fillId="2" borderId="7" xfId="0" applyFont="1" applyFill="1" applyBorder="1"/>
    <xf numFmtId="0" fontId="30" fillId="2" borderId="8" xfId="0" applyFont="1" applyFill="1" applyBorder="1"/>
    <xf numFmtId="0" fontId="30" fillId="2" borderId="1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7" fillId="0" borderId="0" xfId="0" applyFont="1"/>
    <xf numFmtId="0" fontId="27" fillId="0" borderId="0" xfId="0" applyFont="1" applyFill="1"/>
    <xf numFmtId="0" fontId="27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7" fillId="0" borderId="4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6" xfId="0" applyFont="1" applyBorder="1"/>
    <xf numFmtId="0" fontId="27" fillId="0" borderId="7" xfId="0" applyFont="1" applyBorder="1"/>
    <xf numFmtId="0" fontId="27" fillId="0" borderId="8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70" fontId="15" fillId="0" borderId="4" xfId="0" applyNumberFormat="1" applyFont="1" applyBorder="1" applyAlignment="1">
      <alignment horizontal="left" indent="1"/>
    </xf>
    <xf numFmtId="0" fontId="17" fillId="0" borderId="0" xfId="0" applyFont="1" applyBorder="1"/>
    <xf numFmtId="170" fontId="15" fillId="0" borderId="5" xfId="0" applyNumberFormat="1" applyFont="1" applyBorder="1" applyAlignment="1">
      <alignment horizontal="left" indent="1"/>
    </xf>
    <xf numFmtId="170" fontId="15" fillId="0" borderId="13" xfId="0" applyNumberFormat="1" applyFont="1" applyBorder="1" applyAlignment="1">
      <alignment horizontal="left" indent="1"/>
    </xf>
    <xf numFmtId="0" fontId="17" fillId="0" borderId="5" xfId="0" applyFont="1" applyBorder="1"/>
    <xf numFmtId="0" fontId="18" fillId="0" borderId="4" xfId="0" applyFont="1" applyBorder="1" applyAlignment="1">
      <alignment horizontal="left" vertical="center"/>
    </xf>
    <xf numFmtId="0" fontId="19" fillId="0" borderId="0" xfId="3" applyFont="1" applyBorder="1"/>
    <xf numFmtId="0" fontId="17" fillId="0" borderId="4" xfId="0" applyFont="1" applyBorder="1"/>
    <xf numFmtId="39" fontId="15" fillId="0" borderId="0" xfId="0" applyNumberFormat="1" applyFont="1" applyBorder="1" applyAlignment="1">
      <alignment horizontal="right"/>
    </xf>
    <xf numFmtId="10" fontId="15" fillId="0" borderId="0" xfId="7" applyNumberFormat="1" applyFont="1" applyBorder="1" applyAlignment="1">
      <alignment horizontal="center"/>
    </xf>
    <xf numFmtId="0" fontId="18" fillId="0" borderId="6" xfId="0" applyFont="1" applyBorder="1" applyAlignment="1">
      <alignment horizontal="left" vertical="center"/>
    </xf>
    <xf numFmtId="0" fontId="17" fillId="0" borderId="7" xfId="0" applyFont="1" applyBorder="1"/>
    <xf numFmtId="0" fontId="17" fillId="0" borderId="8" xfId="0" applyFont="1" applyBorder="1"/>
    <xf numFmtId="0" fontId="13" fillId="0" borderId="0" xfId="0" applyFont="1"/>
    <xf numFmtId="164" fontId="16" fillId="0" borderId="12" xfId="6" applyNumberFormat="1" applyFont="1" applyFill="1" applyBorder="1" applyProtection="1">
      <protection locked="0"/>
    </xf>
    <xf numFmtId="0" fontId="27" fillId="0" borderId="0" xfId="0" quotePrefix="1" applyFont="1"/>
    <xf numFmtId="0" fontId="31" fillId="0" borderId="0" xfId="0" applyFont="1"/>
    <xf numFmtId="0" fontId="1" fillId="0" borderId="0" xfId="0" applyFont="1"/>
    <xf numFmtId="0" fontId="2" fillId="0" borderId="0" xfId="0" applyFont="1"/>
    <xf numFmtId="0" fontId="26" fillId="0" borderId="0" xfId="0" applyFont="1"/>
    <xf numFmtId="10" fontId="32" fillId="0" borderId="0" xfId="6" applyNumberFormat="1" applyFont="1"/>
    <xf numFmtId="0" fontId="33" fillId="0" borderId="0" xfId="0" applyFont="1"/>
    <xf numFmtId="164" fontId="32" fillId="0" borderId="0" xfId="6" applyNumberFormat="1" applyFont="1"/>
    <xf numFmtId="10" fontId="1" fillId="0" borderId="0" xfId="6" applyNumberFormat="1" applyFont="1"/>
    <xf numFmtId="0" fontId="2" fillId="0" borderId="0" xfId="0" quotePrefix="1" applyFont="1"/>
    <xf numFmtId="9" fontId="32" fillId="0" borderId="0" xfId="6" applyFont="1"/>
    <xf numFmtId="2" fontId="32" fillId="0" borderId="0" xfId="6" applyNumberFormat="1" applyFont="1"/>
    <xf numFmtId="9" fontId="3" fillId="0" borderId="0" xfId="0" applyNumberFormat="1" applyFont="1"/>
    <xf numFmtId="0" fontId="4" fillId="0" borderId="0" xfId="0" quotePrefix="1" applyFont="1"/>
    <xf numFmtId="0" fontId="5" fillId="0" borderId="0" xfId="0" applyFont="1"/>
    <xf numFmtId="9" fontId="5" fillId="0" borderId="0" xfId="0" applyNumberFormat="1" applyFont="1"/>
    <xf numFmtId="37" fontId="35" fillId="2" borderId="1" xfId="0" applyNumberFormat="1" applyFont="1" applyFill="1" applyBorder="1"/>
    <xf numFmtId="37" fontId="35" fillId="2" borderId="2" xfId="0" applyNumberFormat="1" applyFont="1" applyFill="1" applyBorder="1"/>
    <xf numFmtId="37" fontId="35" fillId="2" borderId="3" xfId="0" applyNumberFormat="1" applyFont="1" applyFill="1" applyBorder="1"/>
    <xf numFmtId="37" fontId="35" fillId="2" borderId="4" xfId="0" applyNumberFormat="1" applyFont="1" applyFill="1" applyBorder="1"/>
    <xf numFmtId="37" fontId="35" fillId="2" borderId="0" xfId="0" applyNumberFormat="1" applyFont="1" applyFill="1" applyBorder="1"/>
    <xf numFmtId="37" fontId="35" fillId="2" borderId="5" xfId="0" applyNumberFormat="1" applyFont="1" applyFill="1" applyBorder="1"/>
    <xf numFmtId="0" fontId="35" fillId="2" borderId="6" xfId="0" applyFont="1" applyFill="1" applyBorder="1"/>
    <xf numFmtId="0" fontId="35" fillId="2" borderId="7" xfId="0" applyFont="1" applyFill="1" applyBorder="1"/>
    <xf numFmtId="0" fontId="35" fillId="2" borderId="8" xfId="0" applyFont="1" applyFill="1" applyBorder="1"/>
  </cellXfs>
  <cellStyles count="9">
    <cellStyle name="Comma" xfId="1" builtinId="3"/>
    <cellStyle name="Currency" xfId="2" builtinId="4"/>
    <cellStyle name="Followed Hyperlink" xfId="8" builtinId="9" hidden="1"/>
    <cellStyle name="Hyperlink" xfId="3" builtinId="8"/>
    <cellStyle name="Normal" xfId="0" builtinId="0"/>
    <cellStyle name="Normal 2 2" xfId="4"/>
    <cellStyle name="Normal 2_Financial Analysis Template Set 24aug11.xls Chart 1" xfId="5"/>
    <cellStyle name="Percent" xfId="6" builtinId="5"/>
    <cellStyle name="Percent 2" xfId="7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ilcohen/000/HCMBA/MBAD%206234%20SUM%2013/Wk5/Revised%20case%20exhibit%20-%20big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TAC%20STUDENT%20-%20UV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cohen/Downloads/NEW%20HERITAGE%20Assignment%20Templ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cohen/Downloads/TN%20sheet%20UVa%20LTA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g Ex"/>
    </sheetNames>
    <sheetDataSet>
      <sheetData sheetId="0">
        <row r="4">
          <cell r="E4" t="str">
            <v>Results-No NWC Recovery</v>
          </cell>
        </row>
        <row r="5">
          <cell r="E5" t="str">
            <v>NPV</v>
          </cell>
        </row>
        <row r="10">
          <cell r="C10">
            <v>0.1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LTAC Financial Projections"/>
      <sheetName val="Comparables and WACC "/>
      <sheetName val="Bonds and US Treasuries "/>
    </sheetNames>
    <sheetDataSet>
      <sheetData sheetId="0"/>
      <sheetData sheetId="1"/>
      <sheetData sheetId="2"/>
      <sheetData sheetId="3">
        <row r="4">
          <cell r="F4">
            <v>0.06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Q1-MMDC"/>
      <sheetName val="Q2- DYOD"/>
      <sheetName val="Q3-Recommendation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  <sheetName val="WACC of Comparables (TN1)"/>
      <sheetName val="Cash Flow Projections (TN2)"/>
      <sheetName val="NPV and IRR Sensitivity (TN3)"/>
      <sheetName val="Bonds and U.S. Treasuries "/>
    </sheetNames>
    <sheetDataSet>
      <sheetData sheetId="0" refreshError="1"/>
      <sheetData sheetId="1">
        <row r="2">
          <cell r="D2">
            <v>0.06</v>
          </cell>
        </row>
        <row r="3">
          <cell r="D3">
            <v>4.7199999999999999E-2</v>
          </cell>
        </row>
        <row r="4">
          <cell r="D4">
            <v>0.35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topLeftCell="A4" workbookViewId="0">
      <selection activeCell="A33" sqref="A33"/>
    </sheetView>
  </sheetViews>
  <sheetFormatPr defaultColWidth="9.88671875" defaultRowHeight="15"/>
  <cols>
    <col min="1" max="1" width="14.109375" style="1" customWidth="1"/>
    <col min="2" max="16384" width="9.88671875" style="1"/>
  </cols>
  <sheetData>
    <row r="1" spans="1:12" ht="15.75">
      <c r="A1" s="5" t="s">
        <v>57</v>
      </c>
      <c r="B1" s="5" t="s">
        <v>152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>
      <c r="A2" s="5"/>
      <c r="B2" s="5"/>
      <c r="C2" s="2"/>
      <c r="D2" s="2"/>
      <c r="F2" s="5" t="s">
        <v>56</v>
      </c>
      <c r="G2" s="2"/>
      <c r="H2" s="2"/>
      <c r="I2" s="2"/>
      <c r="J2" s="2"/>
      <c r="K2" s="2"/>
      <c r="L2" s="2"/>
    </row>
    <row r="3" spans="1:12" ht="15.75">
      <c r="A3" s="5"/>
      <c r="B3" s="5"/>
      <c r="C3" s="2"/>
      <c r="D3" s="2"/>
      <c r="F3" s="9" t="s">
        <v>55</v>
      </c>
      <c r="G3" s="2"/>
      <c r="H3" s="2"/>
      <c r="I3" s="2"/>
      <c r="J3" s="2"/>
      <c r="K3" s="2"/>
      <c r="L3" s="2"/>
    </row>
    <row r="4" spans="1:12" ht="15.75">
      <c r="A4" s="2"/>
      <c r="B4" s="2" t="s">
        <v>54</v>
      </c>
      <c r="C4" s="2"/>
      <c r="D4" s="2"/>
      <c r="E4" s="2"/>
      <c r="F4" s="9" t="s">
        <v>61</v>
      </c>
      <c r="G4" s="2"/>
      <c r="H4" s="2"/>
      <c r="I4" s="2"/>
      <c r="K4" s="2"/>
      <c r="L4" s="2"/>
    </row>
    <row r="5" spans="1:12" ht="15.75">
      <c r="A5" s="5" t="s">
        <v>53</v>
      </c>
      <c r="B5" s="2"/>
      <c r="C5" s="2" t="s">
        <v>169</v>
      </c>
      <c r="D5" s="2"/>
      <c r="E5" s="2"/>
      <c r="F5" s="9"/>
      <c r="G5" s="2"/>
      <c r="H5" s="2"/>
      <c r="I5" s="2"/>
      <c r="K5" s="2"/>
      <c r="L5" s="2"/>
    </row>
    <row r="6" spans="1:12" ht="15.75">
      <c r="A6" s="2"/>
      <c r="B6" s="2" t="s">
        <v>52</v>
      </c>
      <c r="C6" s="2"/>
      <c r="D6" s="2"/>
      <c r="E6" s="2"/>
      <c r="F6" s="8"/>
      <c r="G6" s="9" t="s">
        <v>219</v>
      </c>
      <c r="H6" s="2"/>
      <c r="I6" s="2"/>
      <c r="J6" s="2"/>
      <c r="K6" s="2"/>
      <c r="L6" s="2"/>
    </row>
    <row r="7" spans="1:12" ht="15.75">
      <c r="A7" s="2"/>
      <c r="B7" s="2">
        <v>1</v>
      </c>
      <c r="C7" s="2" t="s">
        <v>51</v>
      </c>
      <c r="D7" s="2"/>
      <c r="E7" s="2"/>
      <c r="F7" s="2"/>
      <c r="G7" s="2"/>
      <c r="H7" s="2"/>
      <c r="I7" s="2"/>
      <c r="J7" s="2"/>
      <c r="K7" s="2"/>
      <c r="L7" s="2"/>
    </row>
    <row r="8" spans="1:12" ht="15.75">
      <c r="A8" s="2"/>
      <c r="B8" s="2">
        <v>2</v>
      </c>
      <c r="C8" s="2" t="s">
        <v>50</v>
      </c>
      <c r="D8" s="2"/>
      <c r="E8" s="2"/>
      <c r="F8" s="2"/>
      <c r="G8" s="2"/>
      <c r="H8" s="2"/>
      <c r="I8" s="2"/>
      <c r="J8" s="2"/>
      <c r="K8" s="2"/>
      <c r="L8" s="2"/>
    </row>
    <row r="9" spans="1:12" ht="15.75">
      <c r="A9" s="2"/>
      <c r="B9" s="2">
        <v>3</v>
      </c>
      <c r="C9" s="2" t="s">
        <v>49</v>
      </c>
      <c r="D9" s="2"/>
      <c r="E9" s="2"/>
      <c r="F9" s="2"/>
      <c r="G9" s="2"/>
      <c r="H9" s="2"/>
      <c r="I9" s="2"/>
      <c r="J9" s="2"/>
      <c r="K9" s="2"/>
      <c r="L9" s="2"/>
    </row>
    <row r="10" spans="1:12" ht="15.75">
      <c r="A10" s="2"/>
      <c r="B10" s="2"/>
      <c r="C10" s="2"/>
      <c r="D10" s="2" t="s">
        <v>76</v>
      </c>
      <c r="E10" s="2"/>
      <c r="F10" s="2"/>
      <c r="G10" s="2"/>
      <c r="H10" s="2"/>
      <c r="I10" s="2"/>
      <c r="J10" s="2"/>
      <c r="K10" s="2"/>
      <c r="L10" s="2"/>
    </row>
    <row r="11" spans="1:12" ht="15.75">
      <c r="A11" s="2"/>
      <c r="B11" s="2" t="s">
        <v>75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.75">
      <c r="A12" s="2"/>
      <c r="B12" s="2" t="s">
        <v>61</v>
      </c>
      <c r="C12" s="2" t="s">
        <v>179</v>
      </c>
      <c r="D12" s="2"/>
      <c r="E12" s="2"/>
      <c r="F12" s="8"/>
      <c r="G12" s="2"/>
      <c r="H12" s="2"/>
      <c r="I12" s="2"/>
      <c r="J12" s="2"/>
      <c r="K12" s="2"/>
      <c r="L12" s="2"/>
    </row>
    <row r="13" spans="1:12" ht="15.75">
      <c r="A13" s="2"/>
      <c r="B13" s="2" t="s">
        <v>178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A14" s="2"/>
      <c r="B14" s="2" t="s">
        <v>177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A15" s="2"/>
      <c r="B15" s="2" t="s">
        <v>176</v>
      </c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A16" s="2"/>
      <c r="B16" s="2" t="s">
        <v>61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4" ht="15.75">
      <c r="A17" s="5" t="s">
        <v>175</v>
      </c>
      <c r="B17" s="2"/>
      <c r="C17" s="2" t="s">
        <v>173</v>
      </c>
      <c r="D17" s="2"/>
      <c r="E17" s="2"/>
      <c r="F17" s="2"/>
      <c r="G17" s="2"/>
      <c r="H17" s="2"/>
      <c r="I17" s="2"/>
      <c r="J17" s="2"/>
      <c r="K17" s="2"/>
      <c r="L17" s="2"/>
    </row>
    <row r="18" spans="1:14" ht="15.75">
      <c r="A18" s="5">
        <v>1</v>
      </c>
      <c r="B18" s="2" t="s">
        <v>170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4" ht="15.75">
      <c r="A19" s="5">
        <v>2</v>
      </c>
      <c r="B19" s="2" t="s">
        <v>1</v>
      </c>
      <c r="C19" s="3"/>
      <c r="D19" s="2"/>
      <c r="E19" s="2"/>
      <c r="F19" s="2"/>
      <c r="G19" s="2"/>
      <c r="H19" s="2"/>
      <c r="I19" s="2"/>
      <c r="J19" s="2"/>
      <c r="K19" s="2"/>
      <c r="L19" s="2"/>
    </row>
    <row r="20" spans="1:14" ht="15.75">
      <c r="A20" s="5">
        <v>3</v>
      </c>
      <c r="B20" s="2" t="s">
        <v>151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4" ht="15.75">
      <c r="A21" s="5"/>
      <c r="B21" s="2" t="s">
        <v>237</v>
      </c>
      <c r="C21" s="3"/>
      <c r="D21" s="2"/>
      <c r="E21" s="2"/>
      <c r="F21" s="2"/>
      <c r="G21" s="2"/>
      <c r="H21" s="2"/>
      <c r="I21" s="2"/>
      <c r="J21" s="2"/>
      <c r="K21" s="2"/>
      <c r="L21" s="2"/>
    </row>
    <row r="22" spans="1:14" ht="15.75">
      <c r="A22" s="5"/>
      <c r="B22" s="2" t="s">
        <v>98</v>
      </c>
      <c r="C22" s="3"/>
      <c r="D22" s="2"/>
      <c r="E22" s="2"/>
      <c r="F22" s="2"/>
      <c r="G22" s="2"/>
      <c r="H22" s="2"/>
      <c r="I22" s="2"/>
      <c r="J22" s="2"/>
      <c r="K22" s="2"/>
      <c r="L22" s="2"/>
    </row>
    <row r="23" spans="1:14" ht="15.75">
      <c r="A23" s="5"/>
      <c r="B23" s="2" t="s">
        <v>97</v>
      </c>
      <c r="C23" s="3"/>
      <c r="D23" s="2"/>
      <c r="E23" s="2"/>
      <c r="F23" s="2"/>
      <c r="G23" s="2"/>
      <c r="H23" s="2"/>
      <c r="I23" s="2"/>
      <c r="J23" s="2"/>
      <c r="K23" s="2"/>
      <c r="L23" s="2"/>
    </row>
    <row r="24" spans="1:14" ht="15.75">
      <c r="A24" s="5">
        <v>4</v>
      </c>
      <c r="B24" s="2" t="s">
        <v>77</v>
      </c>
      <c r="C24" s="7"/>
      <c r="D24" s="2"/>
      <c r="E24" s="2"/>
      <c r="F24" s="2"/>
      <c r="G24" s="2"/>
      <c r="H24" s="2"/>
      <c r="I24" s="2"/>
      <c r="J24" s="2"/>
      <c r="K24" s="2"/>
      <c r="L24" s="2"/>
    </row>
    <row r="25" spans="1:14" ht="15.75">
      <c r="A25" s="5">
        <v>5</v>
      </c>
      <c r="B25" s="3" t="s">
        <v>171</v>
      </c>
      <c r="C25" s="2"/>
      <c r="D25" s="3"/>
      <c r="E25" s="3"/>
      <c r="F25" s="3"/>
      <c r="G25" s="3"/>
      <c r="H25" s="3"/>
      <c r="I25" s="2"/>
      <c r="J25" s="2"/>
      <c r="K25" s="2"/>
      <c r="L25" s="2"/>
    </row>
    <row r="26" spans="1:14" ht="15.75">
      <c r="A26" s="5">
        <v>6</v>
      </c>
      <c r="B26" s="6" t="s">
        <v>172</v>
      </c>
      <c r="D26" s="3"/>
      <c r="E26" s="3"/>
      <c r="F26" s="3"/>
      <c r="G26" s="3"/>
      <c r="H26" s="3"/>
      <c r="I26" s="2"/>
      <c r="J26" s="2"/>
      <c r="K26" s="2"/>
      <c r="L26" s="2"/>
    </row>
    <row r="27" spans="1:14" ht="15.75">
      <c r="A27" s="5">
        <v>7</v>
      </c>
      <c r="B27" s="3" t="s">
        <v>174</v>
      </c>
      <c r="D27" s="3"/>
      <c r="E27" s="3"/>
      <c r="F27" s="3"/>
      <c r="G27" s="3"/>
      <c r="H27" s="3"/>
      <c r="I27" s="2"/>
      <c r="J27" s="2"/>
      <c r="K27" s="2"/>
      <c r="L27" s="2"/>
    </row>
    <row r="28" spans="1:14" ht="15.75">
      <c r="A28" s="2">
        <v>8</v>
      </c>
      <c r="B28" s="3" t="s">
        <v>145</v>
      </c>
      <c r="C28" s="3"/>
      <c r="D28" s="3"/>
      <c r="E28" s="3"/>
      <c r="F28" s="3"/>
      <c r="G28" s="3"/>
      <c r="H28" s="3"/>
      <c r="I28" s="2"/>
      <c r="J28" s="2"/>
      <c r="K28" s="2"/>
      <c r="L28" s="2"/>
    </row>
    <row r="29" spans="1:14" ht="15.75">
      <c r="A29" s="2"/>
      <c r="B29" s="3"/>
      <c r="C29" s="3"/>
      <c r="D29" s="3"/>
      <c r="E29" s="3"/>
      <c r="F29" s="3"/>
      <c r="G29" s="3"/>
      <c r="H29" s="3"/>
      <c r="I29" s="2"/>
      <c r="J29" s="2"/>
      <c r="K29" s="2"/>
      <c r="L29" s="2"/>
    </row>
    <row r="30" spans="1:14" ht="15.75">
      <c r="A30" s="5" t="s">
        <v>62</v>
      </c>
      <c r="B30" s="3" t="s">
        <v>146</v>
      </c>
      <c r="C30" s="2"/>
      <c r="D30" s="2"/>
      <c r="E30" s="3"/>
      <c r="F30" s="3"/>
      <c r="G30" s="3"/>
      <c r="H30" s="3"/>
      <c r="I30" s="2"/>
      <c r="J30" s="2"/>
      <c r="K30" s="2"/>
      <c r="L30" s="2"/>
    </row>
    <row r="31" spans="1:14" ht="15.75">
      <c r="A31" s="2"/>
      <c r="B31" s="121" t="s">
        <v>147</v>
      </c>
      <c r="C31" s="2"/>
      <c r="D31" s="2"/>
      <c r="E31" s="3"/>
      <c r="F31" s="3"/>
      <c r="G31" s="3"/>
      <c r="H31" s="3"/>
      <c r="I31" s="2"/>
      <c r="J31" s="2"/>
      <c r="K31" s="2"/>
      <c r="L31" s="2"/>
    </row>
    <row r="32" spans="1:14" ht="15.75">
      <c r="A32" s="5">
        <v>1</v>
      </c>
      <c r="B32" s="3" t="s">
        <v>148</v>
      </c>
      <c r="C32" t="s">
        <v>150</v>
      </c>
      <c r="D32"/>
      <c r="E32"/>
      <c r="F32"/>
      <c r="G32" t="s">
        <v>223</v>
      </c>
      <c r="H32"/>
      <c r="I32"/>
      <c r="J32" s="121" t="s">
        <v>213</v>
      </c>
      <c r="K32"/>
      <c r="L32"/>
      <c r="M32"/>
      <c r="N32"/>
    </row>
    <row r="33" spans="1:14" ht="15.75">
      <c r="A33" s="4">
        <v>2</v>
      </c>
      <c r="B33" t="s">
        <v>221</v>
      </c>
      <c r="C33" t="str">
        <f>C32</f>
        <v>Scroll down until you see the questions.</v>
      </c>
      <c r="D33"/>
      <c r="E33"/>
      <c r="F33"/>
      <c r="G33" t="s">
        <v>224</v>
      </c>
      <c r="H33"/>
      <c r="I33"/>
      <c r="J33" s="121" t="s">
        <v>212</v>
      </c>
      <c r="K33"/>
      <c r="L33"/>
      <c r="M33"/>
      <c r="N33"/>
    </row>
    <row r="34" spans="1:14" ht="15.75">
      <c r="A34" s="4">
        <v>3</v>
      </c>
      <c r="B34" t="s">
        <v>222</v>
      </c>
      <c r="C34" t="str">
        <f>C33</f>
        <v>Scroll down until you see the questions.</v>
      </c>
      <c r="D34"/>
      <c r="E34"/>
      <c r="F34"/>
      <c r="G34" t="s">
        <v>225</v>
      </c>
      <c r="H34"/>
      <c r="I34"/>
      <c r="J34"/>
      <c r="K34" s="212" t="s">
        <v>214</v>
      </c>
      <c r="L34"/>
      <c r="N34"/>
    </row>
    <row r="35" spans="1:14" ht="15.75">
      <c r="A35" s="5" t="s">
        <v>146</v>
      </c>
      <c r="B35"/>
      <c r="C35"/>
      <c r="D35"/>
      <c r="E35"/>
      <c r="F35"/>
      <c r="G35"/>
      <c r="H35"/>
      <c r="I35"/>
      <c r="J35"/>
      <c r="K35"/>
      <c r="L35"/>
      <c r="N35"/>
    </row>
    <row r="36" spans="1:14" ht="15.75">
      <c r="A36" s="5" t="s">
        <v>146</v>
      </c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5.75">
      <c r="A37" s="5" t="s">
        <v>146</v>
      </c>
      <c r="B37" t="s">
        <v>188</v>
      </c>
      <c r="C37"/>
      <c r="D37"/>
      <c r="E37"/>
      <c r="F37"/>
      <c r="G37"/>
      <c r="H37"/>
      <c r="I37"/>
      <c r="J37"/>
      <c r="K37"/>
      <c r="L37"/>
      <c r="M37"/>
      <c r="N37"/>
    </row>
    <row r="38" spans="1:14" ht="15.75">
      <c r="A38" s="5" t="s">
        <v>146</v>
      </c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5.75">
      <c r="A39" s="4" t="s">
        <v>149</v>
      </c>
      <c r="C39"/>
      <c r="D39"/>
      <c r="E39"/>
      <c r="F39"/>
      <c r="G39"/>
      <c r="H39"/>
      <c r="I39"/>
      <c r="J39"/>
      <c r="K39"/>
      <c r="L39"/>
      <c r="M39"/>
      <c r="N39"/>
    </row>
    <row r="40" spans="1:14" ht="15.75">
      <c r="A40" s="3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.75">
      <c r="A41" s="2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5.75">
      <c r="A42" s="4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5.75">
      <c r="A43" s="2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5.75">
      <c r="A44" s="2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5.75">
      <c r="A45" s="2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5.75">
      <c r="A46" s="2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5.75">
      <c r="A47" s="2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5.75">
      <c r="A48" s="2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5.75">
      <c r="A49" s="2"/>
      <c r="B49"/>
      <c r="C49"/>
      <c r="D49"/>
      <c r="E49"/>
      <c r="F49"/>
      <c r="G49"/>
      <c r="H49"/>
      <c r="I49"/>
      <c r="J49"/>
      <c r="K49"/>
      <c r="L49"/>
      <c r="M49"/>
      <c r="N49"/>
    </row>
    <row r="55" spans="1:14">
      <c r="B55" s="1" t="s">
        <v>61</v>
      </c>
    </row>
    <row r="56" spans="1:14">
      <c r="B56" s="1" t="s">
        <v>61</v>
      </c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149"/>
  <sheetViews>
    <sheetView tabSelected="1" topLeftCell="A67" zoomScale="125" workbookViewId="0">
      <selection sqref="A1:XFD1"/>
    </sheetView>
  </sheetViews>
  <sheetFormatPr defaultColWidth="11.5546875" defaultRowHeight="15"/>
  <cols>
    <col min="1" max="1" width="4.44140625" customWidth="1"/>
    <col min="2" max="2" width="32.33203125" customWidth="1"/>
    <col min="4" max="4" width="6.88671875" customWidth="1"/>
    <col min="5" max="5" width="8" customWidth="1"/>
  </cols>
  <sheetData>
    <row r="1" spans="1:15" ht="15.75">
      <c r="A1" s="93"/>
      <c r="B1" s="22"/>
      <c r="C1" s="22"/>
      <c r="D1" s="22"/>
      <c r="E1" s="126"/>
      <c r="F1" s="22"/>
      <c r="G1" s="22"/>
      <c r="H1" s="22"/>
      <c r="I1" s="22"/>
      <c r="J1" s="22"/>
      <c r="K1" s="22"/>
      <c r="L1" s="21"/>
      <c r="M1" s="21"/>
      <c r="N1" s="21"/>
      <c r="O1" s="21"/>
    </row>
    <row r="2" spans="1:15" ht="15.75">
      <c r="A2" s="93" t="s">
        <v>37</v>
      </c>
      <c r="B2" s="94"/>
      <c r="C2" s="127" t="s">
        <v>36</v>
      </c>
      <c r="D2" s="94"/>
      <c r="E2" s="94"/>
      <c r="F2" s="22"/>
      <c r="G2" s="22"/>
      <c r="H2" s="22"/>
      <c r="I2" s="22"/>
      <c r="J2" s="22"/>
      <c r="K2" s="22"/>
      <c r="L2" s="21"/>
      <c r="M2" s="21"/>
      <c r="N2" s="21"/>
      <c r="O2" s="21"/>
    </row>
    <row r="3" spans="1:15" ht="16.5" thickBot="1">
      <c r="A3" s="93"/>
      <c r="B3" s="94"/>
      <c r="C3" s="94"/>
      <c r="D3" s="94"/>
      <c r="E3" s="94"/>
      <c r="F3" s="22"/>
      <c r="G3" s="22"/>
      <c r="H3" s="22"/>
      <c r="I3" s="22"/>
      <c r="J3" s="22"/>
      <c r="K3" s="22"/>
      <c r="L3" s="21"/>
      <c r="M3" s="21"/>
      <c r="N3" s="21"/>
      <c r="O3" s="21"/>
    </row>
    <row r="4" spans="1:15" ht="15.75">
      <c r="A4" s="21"/>
      <c r="B4" s="98" t="s">
        <v>35</v>
      </c>
      <c r="C4" s="100"/>
      <c r="D4" s="82"/>
      <c r="E4" s="103" t="s">
        <v>45</v>
      </c>
      <c r="F4" s="104"/>
      <c r="G4" s="103" t="s">
        <v>42</v>
      </c>
      <c r="H4" s="104"/>
      <c r="I4" s="22"/>
      <c r="J4" s="22"/>
      <c r="K4" s="22"/>
      <c r="L4" s="21"/>
      <c r="M4" s="21"/>
      <c r="N4" s="21"/>
      <c r="O4" s="21"/>
    </row>
    <row r="5" spans="1:15" ht="15.75">
      <c r="A5" s="21"/>
      <c r="B5" s="96" t="s">
        <v>58</v>
      </c>
      <c r="C5" s="101">
        <v>50</v>
      </c>
      <c r="D5" s="29" t="s">
        <v>39</v>
      </c>
      <c r="E5" s="122" t="s">
        <v>41</v>
      </c>
      <c r="F5" s="106">
        <f>C73</f>
        <v>5687.3549210569163</v>
      </c>
      <c r="G5" s="105" t="s">
        <v>41</v>
      </c>
      <c r="H5" s="106">
        <f>C80</f>
        <v>10424.864582329094</v>
      </c>
      <c r="I5" s="94" t="s">
        <v>44</v>
      </c>
      <c r="J5" s="22"/>
      <c r="K5" s="22"/>
      <c r="L5" s="21"/>
      <c r="M5" s="21"/>
      <c r="N5" s="21"/>
      <c r="O5" s="21"/>
    </row>
    <row r="6" spans="1:15" ht="16.5" thickBot="1">
      <c r="A6" s="21"/>
      <c r="B6" s="96" t="s">
        <v>59</v>
      </c>
      <c r="C6" s="102">
        <v>0.26</v>
      </c>
      <c r="D6" s="29" t="s">
        <v>39</v>
      </c>
      <c r="E6" s="107" t="s">
        <v>40</v>
      </c>
      <c r="F6" s="111">
        <f>C74</f>
        <v>0.17638092514880221</v>
      </c>
      <c r="G6" s="107" t="s">
        <v>40</v>
      </c>
      <c r="H6" s="111">
        <f>C81</f>
        <v>0.21182909144833961</v>
      </c>
      <c r="I6" s="22"/>
      <c r="J6" s="22"/>
      <c r="K6" s="22"/>
      <c r="L6" s="21"/>
      <c r="M6" s="21"/>
      <c r="N6" s="21"/>
      <c r="O6" s="21"/>
    </row>
    <row r="7" spans="1:15" ht="15.75">
      <c r="A7" s="21"/>
      <c r="B7" s="96" t="s">
        <v>60</v>
      </c>
      <c r="C7" s="102">
        <v>0.6</v>
      </c>
      <c r="D7" s="29" t="s">
        <v>39</v>
      </c>
      <c r="E7" s="22"/>
      <c r="F7" s="22"/>
      <c r="G7" s="22"/>
      <c r="H7" s="22"/>
      <c r="I7" s="22"/>
      <c r="J7" s="22"/>
      <c r="K7" s="22"/>
      <c r="L7" s="21"/>
      <c r="M7" s="21"/>
      <c r="N7" s="21"/>
      <c r="O7" s="21"/>
    </row>
    <row r="8" spans="1:15" ht="15.75">
      <c r="A8" s="91"/>
      <c r="B8" s="97" t="s">
        <v>34</v>
      </c>
      <c r="C8" s="102">
        <v>0.04</v>
      </c>
      <c r="D8" s="92" t="s">
        <v>39</v>
      </c>
      <c r="E8" s="22"/>
      <c r="F8" s="22"/>
      <c r="G8" s="22"/>
      <c r="H8" s="22"/>
      <c r="I8" s="22"/>
      <c r="J8" s="22"/>
      <c r="K8" s="22"/>
      <c r="L8" s="21"/>
      <c r="M8" s="21"/>
      <c r="N8" s="21"/>
      <c r="O8" s="21"/>
    </row>
    <row r="9" spans="1:15" ht="16.5" thickBot="1">
      <c r="A9" s="91"/>
      <c r="B9" s="97" t="s">
        <v>33</v>
      </c>
      <c r="C9" s="133">
        <v>7.0000000000000007E-2</v>
      </c>
      <c r="D9" s="99" t="s">
        <v>39</v>
      </c>
      <c r="E9" s="22"/>
      <c r="F9" s="22"/>
      <c r="G9" s="22"/>
      <c r="H9" s="22"/>
      <c r="I9" s="22"/>
      <c r="J9" s="22"/>
      <c r="K9" s="22"/>
      <c r="L9" s="21"/>
      <c r="M9" s="21"/>
      <c r="N9" s="21"/>
      <c r="O9" s="21"/>
    </row>
    <row r="10" spans="1:15" ht="16.5" thickBot="1">
      <c r="A10" s="112"/>
      <c r="B10" s="113" t="s">
        <v>43</v>
      </c>
      <c r="C10" s="123">
        <v>0.1</v>
      </c>
      <c r="D10" s="114"/>
      <c r="E10" s="115"/>
      <c r="F10" s="115"/>
      <c r="G10" s="125"/>
      <c r="H10" s="125"/>
      <c r="I10" s="125"/>
      <c r="J10" s="125"/>
      <c r="K10" s="125"/>
      <c r="L10" s="117"/>
      <c r="M10" s="117"/>
      <c r="N10" s="117"/>
      <c r="O10" s="116"/>
    </row>
    <row r="11" spans="1:15" ht="15.75">
      <c r="A11" s="91"/>
      <c r="B11" s="22"/>
      <c r="C11" s="90"/>
      <c r="D11" s="90"/>
      <c r="E11" s="22"/>
      <c r="F11" s="22"/>
      <c r="G11" s="22"/>
      <c r="H11" s="22"/>
      <c r="I11" s="22"/>
      <c r="J11" s="22"/>
      <c r="K11" s="22"/>
      <c r="L11" s="21"/>
      <c r="M11" s="21"/>
      <c r="N11" s="21"/>
      <c r="O11" s="21"/>
    </row>
    <row r="12" spans="1:15" ht="15.75">
      <c r="A12" s="21"/>
      <c r="B12" s="22"/>
      <c r="C12" s="22"/>
      <c r="D12" s="22"/>
      <c r="E12" s="128" t="s">
        <v>48</v>
      </c>
      <c r="F12" s="28">
        <v>1</v>
      </c>
      <c r="G12" s="28">
        <v>2</v>
      </c>
      <c r="H12" s="28">
        <v>3</v>
      </c>
      <c r="I12" s="28">
        <v>4</v>
      </c>
      <c r="J12" s="28">
        <v>5</v>
      </c>
      <c r="K12" s="28">
        <v>6</v>
      </c>
      <c r="L12" s="119">
        <v>7</v>
      </c>
      <c r="M12" s="119">
        <v>8</v>
      </c>
      <c r="N12" s="119">
        <v>9</v>
      </c>
      <c r="O12" s="119">
        <v>10</v>
      </c>
    </row>
    <row r="13" spans="1:15" ht="15.75">
      <c r="A13" s="55" t="s">
        <v>153</v>
      </c>
      <c r="B13" s="82"/>
      <c r="C13" s="22"/>
      <c r="D13" s="22"/>
      <c r="E13" s="22"/>
      <c r="F13" s="89"/>
      <c r="G13" s="89"/>
      <c r="H13" s="89"/>
      <c r="I13" s="89"/>
      <c r="J13" s="89"/>
      <c r="K13" s="22"/>
      <c r="L13" s="22"/>
      <c r="M13" s="22"/>
      <c r="N13" s="22"/>
      <c r="O13" s="22"/>
    </row>
    <row r="14" spans="1:15" ht="15.75">
      <c r="A14" s="21"/>
      <c r="B14" s="22" t="s">
        <v>154</v>
      </c>
      <c r="C14" s="22"/>
      <c r="D14" s="22"/>
      <c r="E14" s="22"/>
      <c r="F14" s="88">
        <f t="shared" ref="F14:O14" si="0">$C$5*365</f>
        <v>18250</v>
      </c>
      <c r="G14" s="88">
        <f t="shared" si="0"/>
        <v>18250</v>
      </c>
      <c r="H14" s="88">
        <f t="shared" si="0"/>
        <v>18250</v>
      </c>
      <c r="I14" s="88">
        <f t="shared" si="0"/>
        <v>18250</v>
      </c>
      <c r="J14" s="88">
        <f t="shared" si="0"/>
        <v>18250</v>
      </c>
      <c r="K14" s="88">
        <f t="shared" si="0"/>
        <v>18250</v>
      </c>
      <c r="L14" s="88">
        <f t="shared" si="0"/>
        <v>18250</v>
      </c>
      <c r="M14" s="88">
        <f t="shared" si="0"/>
        <v>18250</v>
      </c>
      <c r="N14" s="88">
        <f t="shared" si="0"/>
        <v>18250</v>
      </c>
      <c r="O14" s="88">
        <f t="shared" si="0"/>
        <v>18250</v>
      </c>
    </row>
    <row r="15" spans="1:15" ht="15.75">
      <c r="A15" s="21"/>
      <c r="B15" s="22" t="s">
        <v>155</v>
      </c>
      <c r="C15" s="22"/>
      <c r="D15" s="22"/>
      <c r="E15" s="22"/>
      <c r="F15" s="84">
        <f>C6</f>
        <v>0.26</v>
      </c>
      <c r="G15" s="84">
        <f>C7</f>
        <v>0.6</v>
      </c>
      <c r="H15" s="84">
        <f>G15*(1+$C$8)</f>
        <v>0.624</v>
      </c>
      <c r="I15" s="84">
        <f>H15*(1+$C$8)</f>
        <v>0.64895999999999998</v>
      </c>
      <c r="J15" s="84">
        <f t="shared" ref="J15:O15" si="1">I15*(1+$C$8)</f>
        <v>0.67491840000000003</v>
      </c>
      <c r="K15" s="84">
        <f t="shared" si="1"/>
        <v>0.70191513600000011</v>
      </c>
      <c r="L15" s="84">
        <f t="shared" si="1"/>
        <v>0.72999174144000012</v>
      </c>
      <c r="M15" s="84">
        <f t="shared" si="1"/>
        <v>0.75919141109760013</v>
      </c>
      <c r="N15" s="84">
        <f t="shared" si="1"/>
        <v>0.78955906754150418</v>
      </c>
      <c r="O15" s="84">
        <f t="shared" si="1"/>
        <v>0.82114143024316433</v>
      </c>
    </row>
    <row r="16" spans="1:15" ht="15.75">
      <c r="A16" s="21"/>
      <c r="B16" s="22" t="s">
        <v>156</v>
      </c>
      <c r="C16" s="22"/>
      <c r="D16" s="22"/>
      <c r="E16" s="22"/>
      <c r="F16" s="87">
        <f t="shared" ref="F16:O16" si="2">F14*F15</f>
        <v>4745</v>
      </c>
      <c r="G16" s="87">
        <f t="shared" si="2"/>
        <v>10950</v>
      </c>
      <c r="H16" s="87">
        <f t="shared" si="2"/>
        <v>11388</v>
      </c>
      <c r="I16" s="87">
        <f t="shared" si="2"/>
        <v>11843.52</v>
      </c>
      <c r="J16" s="87">
        <f t="shared" si="2"/>
        <v>12317.2608</v>
      </c>
      <c r="K16" s="87">
        <f t="shared" si="2"/>
        <v>12809.951232000001</v>
      </c>
      <c r="L16" s="87">
        <f t="shared" si="2"/>
        <v>13322.349281280001</v>
      </c>
      <c r="M16" s="87">
        <f t="shared" si="2"/>
        <v>13855.243252531203</v>
      </c>
      <c r="N16" s="87">
        <f t="shared" si="2"/>
        <v>14409.452982632451</v>
      </c>
      <c r="O16" s="87">
        <f t="shared" si="2"/>
        <v>14985.831101937749</v>
      </c>
    </row>
    <row r="17" spans="1:15" ht="15.75">
      <c r="A17" s="21"/>
      <c r="B17" s="22" t="s">
        <v>157</v>
      </c>
      <c r="C17" s="22"/>
      <c r="D17" s="22"/>
      <c r="E17" s="22"/>
      <c r="F17" s="87">
        <f t="shared" ref="F17:O17" si="3">F16/365</f>
        <v>13</v>
      </c>
      <c r="G17" s="87">
        <f t="shared" si="3"/>
        <v>30</v>
      </c>
      <c r="H17" s="87">
        <f t="shared" si="3"/>
        <v>31.2</v>
      </c>
      <c r="I17" s="87">
        <f t="shared" si="3"/>
        <v>32.448</v>
      </c>
      <c r="J17" s="87">
        <f t="shared" si="3"/>
        <v>33.745919999999998</v>
      </c>
      <c r="K17" s="87">
        <f t="shared" si="3"/>
        <v>35.095756800000004</v>
      </c>
      <c r="L17" s="87">
        <f t="shared" si="3"/>
        <v>36.499587072000004</v>
      </c>
      <c r="M17" s="87">
        <f t="shared" si="3"/>
        <v>37.95957055488001</v>
      </c>
      <c r="N17" s="87">
        <f t="shared" si="3"/>
        <v>39.47795337707521</v>
      </c>
      <c r="O17" s="87">
        <f t="shared" si="3"/>
        <v>41.057071512158217</v>
      </c>
    </row>
    <row r="18" spans="1:15" ht="15.75">
      <c r="A18" s="21"/>
      <c r="B18" s="22" t="s">
        <v>158</v>
      </c>
      <c r="C18" s="22"/>
      <c r="D18" s="22"/>
      <c r="E18" s="22"/>
      <c r="F18" s="87">
        <v>30</v>
      </c>
      <c r="G18" s="87">
        <v>27</v>
      </c>
      <c r="H18" s="87">
        <v>27</v>
      </c>
      <c r="I18" s="87">
        <v>27</v>
      </c>
      <c r="J18" s="87">
        <v>27</v>
      </c>
      <c r="K18" s="87">
        <v>27</v>
      </c>
      <c r="L18" s="87">
        <v>27</v>
      </c>
      <c r="M18" s="87">
        <v>27</v>
      </c>
      <c r="N18" s="87">
        <v>27</v>
      </c>
      <c r="O18" s="87">
        <v>27</v>
      </c>
    </row>
    <row r="19" spans="1:15" ht="15.75">
      <c r="A19" s="21"/>
      <c r="B19" s="22" t="s">
        <v>159</v>
      </c>
      <c r="C19" s="22"/>
      <c r="D19" s="22"/>
      <c r="E19" s="22"/>
      <c r="F19" s="87">
        <f>F16/F18</f>
        <v>158.16666666666666</v>
      </c>
      <c r="G19" s="87">
        <f>G16/G18</f>
        <v>405.55555555555554</v>
      </c>
      <c r="H19" s="87">
        <f>H16/H18</f>
        <v>421.77777777777777</v>
      </c>
      <c r="I19" s="87">
        <f t="shared" ref="I19:O19" si="4">I16/I18</f>
        <v>438.64888888888891</v>
      </c>
      <c r="J19" s="87">
        <f t="shared" si="4"/>
        <v>456.19484444444447</v>
      </c>
      <c r="K19" s="87">
        <f t="shared" si="4"/>
        <v>474.44263822222229</v>
      </c>
      <c r="L19" s="87">
        <f t="shared" si="4"/>
        <v>493.42034375111115</v>
      </c>
      <c r="M19" s="87">
        <f t="shared" si="4"/>
        <v>513.15715750115567</v>
      </c>
      <c r="N19" s="87">
        <f t="shared" si="4"/>
        <v>533.68344380120186</v>
      </c>
      <c r="O19" s="87">
        <f t="shared" si="4"/>
        <v>555.03078155324999</v>
      </c>
    </row>
    <row r="20" spans="1:15" ht="15.75">
      <c r="A20" s="21"/>
      <c r="B20" s="22" t="s">
        <v>160</v>
      </c>
      <c r="C20" s="22"/>
      <c r="D20" s="22"/>
      <c r="E20" s="22"/>
      <c r="F20" s="86">
        <v>4.8</v>
      </c>
      <c r="G20" s="86">
        <v>3.5</v>
      </c>
      <c r="H20" s="86">
        <v>3.5</v>
      </c>
      <c r="I20" s="86">
        <v>3.5</v>
      </c>
      <c r="J20" s="86">
        <v>3.5</v>
      </c>
      <c r="K20" s="86">
        <v>3.5</v>
      </c>
      <c r="L20" s="86">
        <v>3.5</v>
      </c>
      <c r="M20" s="86">
        <v>3.5</v>
      </c>
      <c r="N20" s="86">
        <v>3.5</v>
      </c>
      <c r="O20" s="86">
        <v>3.5</v>
      </c>
    </row>
    <row r="21" spans="1:15" ht="15.75">
      <c r="A21" s="21"/>
      <c r="B21" s="22" t="s">
        <v>161</v>
      </c>
      <c r="C21" s="129"/>
      <c r="D21" s="129"/>
      <c r="E21" s="22"/>
      <c r="F21" s="81">
        <f t="shared" ref="F21:O21" si="5">F17*F20</f>
        <v>62.4</v>
      </c>
      <c r="G21" s="81">
        <f t="shared" si="5"/>
        <v>105</v>
      </c>
      <c r="H21" s="81">
        <f t="shared" si="5"/>
        <v>109.2</v>
      </c>
      <c r="I21" s="81">
        <f t="shared" si="5"/>
        <v>113.568</v>
      </c>
      <c r="J21" s="81">
        <f t="shared" si="5"/>
        <v>118.11071999999999</v>
      </c>
      <c r="K21" s="81">
        <f t="shared" si="5"/>
        <v>122.83514880000001</v>
      </c>
      <c r="L21" s="81">
        <f t="shared" si="5"/>
        <v>127.74855475200002</v>
      </c>
      <c r="M21" s="81">
        <f t="shared" si="5"/>
        <v>132.85849694208002</v>
      </c>
      <c r="N21" s="81">
        <f t="shared" si="5"/>
        <v>138.17283681976323</v>
      </c>
      <c r="O21" s="81">
        <f t="shared" si="5"/>
        <v>143.69975029255374</v>
      </c>
    </row>
    <row r="22" spans="1:15" ht="15.75">
      <c r="A22" s="56"/>
      <c r="B22" s="57"/>
      <c r="C22" s="85"/>
      <c r="D22" s="85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ht="15.75">
      <c r="A23" s="55" t="s">
        <v>32</v>
      </c>
      <c r="B23" s="82"/>
      <c r="C23" s="28" t="s">
        <v>31</v>
      </c>
      <c r="D23" s="28"/>
      <c r="E23" s="22"/>
      <c r="F23" s="81"/>
      <c r="G23" s="81"/>
      <c r="H23" s="81"/>
      <c r="I23" s="81"/>
      <c r="J23" s="81"/>
      <c r="K23" s="22"/>
      <c r="L23" s="22"/>
      <c r="M23" s="22"/>
      <c r="N23" s="22"/>
      <c r="O23" s="22"/>
    </row>
    <row r="24" spans="1:15" ht="15.75">
      <c r="A24" s="79"/>
      <c r="B24" s="80" t="s">
        <v>162</v>
      </c>
      <c r="C24" s="84">
        <v>0.36</v>
      </c>
      <c r="D24" s="83"/>
      <c r="E24" s="80"/>
      <c r="F24" s="76">
        <f t="shared" ref="F24:O28" si="6">F$19*$C24</f>
        <v>56.94</v>
      </c>
      <c r="G24" s="76">
        <f t="shared" si="6"/>
        <v>146</v>
      </c>
      <c r="H24" s="76">
        <f t="shared" si="6"/>
        <v>151.84</v>
      </c>
      <c r="I24" s="76">
        <f t="shared" si="6"/>
        <v>157.9136</v>
      </c>
      <c r="J24" s="76">
        <f t="shared" si="6"/>
        <v>164.230144</v>
      </c>
      <c r="K24" s="76">
        <f t="shared" si="6"/>
        <v>170.79934976000001</v>
      </c>
      <c r="L24" s="76">
        <f t="shared" si="6"/>
        <v>177.63132375040001</v>
      </c>
      <c r="M24" s="76">
        <f t="shared" si="6"/>
        <v>184.73657670041604</v>
      </c>
      <c r="N24" s="76">
        <f t="shared" si="6"/>
        <v>192.12603976843266</v>
      </c>
      <c r="O24" s="76">
        <f t="shared" si="6"/>
        <v>199.81108135917</v>
      </c>
    </row>
    <row r="25" spans="1:15" ht="15.75">
      <c r="A25" s="56"/>
      <c r="B25" s="57" t="s">
        <v>163</v>
      </c>
      <c r="C25" s="84">
        <v>0.28999999999999998</v>
      </c>
      <c r="D25" s="83"/>
      <c r="E25" s="57"/>
      <c r="F25" s="76">
        <f t="shared" si="6"/>
        <v>45.868333333333325</v>
      </c>
      <c r="G25" s="76">
        <f t="shared" si="6"/>
        <v>117.6111111111111</v>
      </c>
      <c r="H25" s="76">
        <f t="shared" si="6"/>
        <v>122.31555555555555</v>
      </c>
      <c r="I25" s="76">
        <f t="shared" si="6"/>
        <v>127.20817777777778</v>
      </c>
      <c r="J25" s="76">
        <f t="shared" si="6"/>
        <v>132.29650488888888</v>
      </c>
      <c r="K25" s="76">
        <f t="shared" si="6"/>
        <v>137.58836508444446</v>
      </c>
      <c r="L25" s="76">
        <f t="shared" si="6"/>
        <v>143.09189968782223</v>
      </c>
      <c r="M25" s="76">
        <f t="shared" si="6"/>
        <v>148.81557567533514</v>
      </c>
      <c r="N25" s="76">
        <f t="shared" si="6"/>
        <v>154.76819870234854</v>
      </c>
      <c r="O25" s="76">
        <f t="shared" si="6"/>
        <v>160.95892665044249</v>
      </c>
    </row>
    <row r="26" spans="1:15" ht="15.75">
      <c r="A26" s="21"/>
      <c r="B26" s="57" t="s">
        <v>164</v>
      </c>
      <c r="C26" s="84">
        <v>0.24</v>
      </c>
      <c r="D26" s="83"/>
      <c r="E26" s="22"/>
      <c r="F26" s="76">
        <f t="shared" si="6"/>
        <v>37.959999999999994</v>
      </c>
      <c r="G26" s="76">
        <f t="shared" si="6"/>
        <v>97.333333333333329</v>
      </c>
      <c r="H26" s="76">
        <f t="shared" si="6"/>
        <v>101.22666666666666</v>
      </c>
      <c r="I26" s="76">
        <f t="shared" si="6"/>
        <v>105.27573333333333</v>
      </c>
      <c r="J26" s="76">
        <f t="shared" si="6"/>
        <v>109.48676266666666</v>
      </c>
      <c r="K26" s="76">
        <f t="shared" si="6"/>
        <v>113.86623317333334</v>
      </c>
      <c r="L26" s="76">
        <f t="shared" si="6"/>
        <v>118.42088250026667</v>
      </c>
      <c r="M26" s="76">
        <f t="shared" si="6"/>
        <v>123.15771780027735</v>
      </c>
      <c r="N26" s="76">
        <f t="shared" si="6"/>
        <v>128.08402651228843</v>
      </c>
      <c r="O26" s="76">
        <f t="shared" si="6"/>
        <v>133.20738757277999</v>
      </c>
    </row>
    <row r="27" spans="1:15" ht="15.75">
      <c r="A27" s="56"/>
      <c r="B27" s="57" t="s">
        <v>165</v>
      </c>
      <c r="C27" s="84">
        <f>1-C24-C25-C26-C28</f>
        <v>9.0000000000000038E-2</v>
      </c>
      <c r="D27" s="83"/>
      <c r="E27" s="57"/>
      <c r="F27" s="76">
        <f t="shared" si="6"/>
        <v>14.235000000000005</v>
      </c>
      <c r="G27" s="76">
        <f t="shared" si="6"/>
        <v>36.500000000000014</v>
      </c>
      <c r="H27" s="76">
        <f t="shared" si="6"/>
        <v>37.960000000000015</v>
      </c>
      <c r="I27" s="76">
        <f t="shared" si="6"/>
        <v>39.478400000000015</v>
      </c>
      <c r="J27" s="76">
        <f t="shared" si="6"/>
        <v>41.05753600000002</v>
      </c>
      <c r="K27" s="76">
        <f t="shared" si="6"/>
        <v>42.699837440000024</v>
      </c>
      <c r="L27" s="76">
        <f t="shared" si="6"/>
        <v>44.407830937600025</v>
      </c>
      <c r="M27" s="76">
        <f t="shared" si="6"/>
        <v>46.184144175104031</v>
      </c>
      <c r="N27" s="76">
        <f t="shared" si="6"/>
        <v>48.031509942108187</v>
      </c>
      <c r="O27" s="76">
        <f t="shared" si="6"/>
        <v>49.952770339792522</v>
      </c>
    </row>
    <row r="28" spans="1:15" ht="15.75">
      <c r="A28" s="56"/>
      <c r="B28" s="57" t="s">
        <v>166</v>
      </c>
      <c r="C28" s="84">
        <v>0.02</v>
      </c>
      <c r="D28" s="83"/>
      <c r="E28" s="57"/>
      <c r="F28" s="71">
        <f t="shared" si="6"/>
        <v>3.1633333333333331</v>
      </c>
      <c r="G28" s="71">
        <f t="shared" si="6"/>
        <v>8.1111111111111107</v>
      </c>
      <c r="H28" s="71">
        <f t="shared" si="6"/>
        <v>8.4355555555555561</v>
      </c>
      <c r="I28" s="71">
        <f t="shared" si="6"/>
        <v>8.7729777777777791</v>
      </c>
      <c r="J28" s="71">
        <f t="shared" si="6"/>
        <v>9.1238968888888898</v>
      </c>
      <c r="K28" s="71">
        <f t="shared" si="6"/>
        <v>9.4888527644444451</v>
      </c>
      <c r="L28" s="71">
        <f t="shared" si="6"/>
        <v>9.8684068750222238</v>
      </c>
      <c r="M28" s="71">
        <f t="shared" si="6"/>
        <v>10.263143150023113</v>
      </c>
      <c r="N28" s="71">
        <f t="shared" si="6"/>
        <v>10.673668876024037</v>
      </c>
      <c r="O28" s="71">
        <f t="shared" si="6"/>
        <v>11.100615631065001</v>
      </c>
    </row>
    <row r="29" spans="1:15" ht="15.75">
      <c r="A29" s="56"/>
      <c r="B29" s="57"/>
      <c r="C29" s="83"/>
      <c r="D29" s="83"/>
      <c r="E29" s="83"/>
      <c r="F29" s="76">
        <f t="shared" ref="F29:O29" si="7">SUM(F24:F28)</f>
        <v>158.16666666666666</v>
      </c>
      <c r="G29" s="76">
        <f t="shared" si="7"/>
        <v>405.55555555555549</v>
      </c>
      <c r="H29" s="76">
        <f t="shared" si="7"/>
        <v>421.77777777777783</v>
      </c>
      <c r="I29" s="76">
        <f t="shared" si="7"/>
        <v>438.64888888888891</v>
      </c>
      <c r="J29" s="76">
        <f t="shared" si="7"/>
        <v>456.19484444444447</v>
      </c>
      <c r="K29" s="76">
        <f t="shared" si="7"/>
        <v>474.44263822222229</v>
      </c>
      <c r="L29" s="76">
        <f t="shared" si="7"/>
        <v>493.42034375111115</v>
      </c>
      <c r="M29" s="76">
        <f t="shared" si="7"/>
        <v>513.15715750115567</v>
      </c>
      <c r="N29" s="76">
        <f t="shared" si="7"/>
        <v>533.68344380120186</v>
      </c>
      <c r="O29" s="76">
        <f t="shared" si="7"/>
        <v>555.03078155325011</v>
      </c>
    </row>
    <row r="30" spans="1:15" ht="15.75">
      <c r="A30" s="56"/>
      <c r="B30" s="57"/>
      <c r="C30" s="129"/>
      <c r="D30" s="129"/>
      <c r="E30" s="130"/>
      <c r="F30" s="58"/>
      <c r="G30" s="58"/>
      <c r="H30" s="58"/>
      <c r="I30" s="58"/>
      <c r="J30" s="58"/>
      <c r="K30" s="57"/>
      <c r="L30" s="57"/>
      <c r="M30" s="57"/>
      <c r="N30" s="57"/>
      <c r="O30" s="57"/>
    </row>
    <row r="31" spans="1:15" ht="15.75">
      <c r="A31" s="55"/>
      <c r="B31" s="82"/>
      <c r="C31" s="28" t="s">
        <v>30</v>
      </c>
      <c r="D31" s="28"/>
      <c r="E31" s="131" t="s">
        <v>22</v>
      </c>
      <c r="F31" s="81"/>
      <c r="G31" s="81"/>
      <c r="H31" s="81"/>
      <c r="I31" s="81"/>
      <c r="J31" s="81"/>
      <c r="K31" s="22"/>
      <c r="L31" s="22"/>
      <c r="M31" s="22"/>
      <c r="N31" s="22"/>
      <c r="O31" s="22"/>
    </row>
    <row r="32" spans="1:15" ht="15.75">
      <c r="A32" s="79"/>
      <c r="B32" s="80" t="s">
        <v>29</v>
      </c>
      <c r="C32" s="78">
        <v>27795</v>
      </c>
      <c r="D32" s="46"/>
      <c r="E32" s="90">
        <v>0</v>
      </c>
      <c r="F32" s="76">
        <f>F24*$C32/1000</f>
        <v>1582.6473000000001</v>
      </c>
      <c r="G32" s="76">
        <f t="shared" ref="G32:O32" si="8">(G24*$C32*(1+$E$32))/1000</f>
        <v>4058.07</v>
      </c>
      <c r="H32" s="76">
        <f t="shared" si="8"/>
        <v>4220.3927999999996</v>
      </c>
      <c r="I32" s="76">
        <f t="shared" si="8"/>
        <v>4389.2085120000002</v>
      </c>
      <c r="J32" s="76">
        <f t="shared" si="8"/>
        <v>4564.7768524799994</v>
      </c>
      <c r="K32" s="76">
        <f t="shared" si="8"/>
        <v>4747.3679265792007</v>
      </c>
      <c r="L32" s="76">
        <f t="shared" si="8"/>
        <v>4937.2626436423689</v>
      </c>
      <c r="M32" s="76">
        <f t="shared" si="8"/>
        <v>5134.7531493880633</v>
      </c>
      <c r="N32" s="76">
        <f t="shared" si="8"/>
        <v>5340.1432753635863</v>
      </c>
      <c r="O32" s="76">
        <f t="shared" si="8"/>
        <v>5553.7490063781297</v>
      </c>
    </row>
    <row r="33" spans="1:15" ht="15.75">
      <c r="A33" s="56"/>
      <c r="B33" s="57" t="s">
        <v>28</v>
      </c>
      <c r="C33" s="78">
        <v>35000</v>
      </c>
      <c r="D33" s="46"/>
      <c r="E33" s="90">
        <v>1.2999999999999999E-2</v>
      </c>
      <c r="F33" s="76">
        <f>F25*$C33/1000</f>
        <v>1605.3916666666662</v>
      </c>
      <c r="G33" s="76">
        <f t="shared" ref="G33:O33" si="9">G25*$C33*(1+$E$33)/1000</f>
        <v>4169.9019444444439</v>
      </c>
      <c r="H33" s="76">
        <f t="shared" si="9"/>
        <v>4336.6980222222219</v>
      </c>
      <c r="I33" s="76">
        <f t="shared" si="9"/>
        <v>4510.1659431111102</v>
      </c>
      <c r="J33" s="76">
        <f t="shared" si="9"/>
        <v>4690.5725808355546</v>
      </c>
      <c r="K33" s="76">
        <f t="shared" si="9"/>
        <v>4878.1954840689777</v>
      </c>
      <c r="L33" s="76">
        <f t="shared" si="9"/>
        <v>5073.3233034317373</v>
      </c>
      <c r="M33" s="76">
        <f t="shared" si="9"/>
        <v>5276.256235569007</v>
      </c>
      <c r="N33" s="76">
        <f t="shared" si="9"/>
        <v>5487.3064849917664</v>
      </c>
      <c r="O33" s="76">
        <f t="shared" si="9"/>
        <v>5706.798744391439</v>
      </c>
    </row>
    <row r="34" spans="1:15" ht="15.75">
      <c r="A34" s="56"/>
      <c r="B34" s="22" t="s">
        <v>27</v>
      </c>
      <c r="C34" s="78">
        <v>2800</v>
      </c>
      <c r="D34" s="46"/>
      <c r="E34" s="90">
        <v>0.05</v>
      </c>
      <c r="F34" s="76">
        <f>$C$34*F$16*$C$26/1000</f>
        <v>3188.64</v>
      </c>
      <c r="G34" s="76">
        <f t="shared" ref="G34:O34" si="10">$C$34*G$16*$C$26*(1+$E$34)/1000</f>
        <v>7726.32</v>
      </c>
      <c r="H34" s="76">
        <f t="shared" si="10"/>
        <v>8035.372800000001</v>
      </c>
      <c r="I34" s="76">
        <f t="shared" si="10"/>
        <v>8356.7877119999994</v>
      </c>
      <c r="J34" s="76">
        <f t="shared" si="10"/>
        <v>8691.0592204800014</v>
      </c>
      <c r="K34" s="76">
        <f t="shared" si="10"/>
        <v>9038.7015892992022</v>
      </c>
      <c r="L34" s="76">
        <f t="shared" si="10"/>
        <v>9400.2496528711672</v>
      </c>
      <c r="M34" s="76">
        <f t="shared" si="10"/>
        <v>9776.2596389860155</v>
      </c>
      <c r="N34" s="76">
        <f t="shared" si="10"/>
        <v>10167.310024545459</v>
      </c>
      <c r="O34" s="76">
        <f t="shared" si="10"/>
        <v>10574.002425527277</v>
      </c>
    </row>
    <row r="35" spans="1:15" ht="15.75">
      <c r="A35" s="56"/>
      <c r="B35" s="57" t="s">
        <v>26</v>
      </c>
      <c r="C35" s="78">
        <v>38500</v>
      </c>
      <c r="D35" s="46"/>
      <c r="E35" s="77">
        <v>1.2999999999999999E-2</v>
      </c>
      <c r="F35" s="76">
        <f>F27*$C$35/1000</f>
        <v>548.04750000000024</v>
      </c>
      <c r="G35" s="76">
        <f t="shared" ref="G35:O35" si="11">G27*$C$35*(1+$E$35)/1000</f>
        <v>1423.5182500000003</v>
      </c>
      <c r="H35" s="76">
        <f t="shared" si="11"/>
        <v>1480.4589800000001</v>
      </c>
      <c r="I35" s="76">
        <f t="shared" si="11"/>
        <v>1539.6773392000005</v>
      </c>
      <c r="J35" s="76">
        <f t="shared" si="11"/>
        <v>1601.2644327680007</v>
      </c>
      <c r="K35" s="76">
        <f t="shared" si="11"/>
        <v>1665.3150100787207</v>
      </c>
      <c r="L35" s="76">
        <f t="shared" si="11"/>
        <v>1731.9276104818694</v>
      </c>
      <c r="M35" s="76">
        <f t="shared" si="11"/>
        <v>1801.2047149011446</v>
      </c>
      <c r="N35" s="76">
        <f t="shared" si="11"/>
        <v>1873.2529034971899</v>
      </c>
      <c r="O35" s="76">
        <f t="shared" si="11"/>
        <v>1948.1830196370781</v>
      </c>
    </row>
    <row r="36" spans="1:15" ht="15.75">
      <c r="A36" s="56"/>
      <c r="B36" s="75" t="s">
        <v>25</v>
      </c>
      <c r="C36" s="74">
        <v>35000</v>
      </c>
      <c r="D36" s="73"/>
      <c r="E36" s="72">
        <v>1.2999999999999999E-2</v>
      </c>
      <c r="F36" s="71">
        <f>F28*$C$36/1000</f>
        <v>110.71666666666665</v>
      </c>
      <c r="G36" s="71">
        <f t="shared" ref="G36:O36" si="12">G28*$C$36*(1+$E$36)/1000</f>
        <v>287.57944444444439</v>
      </c>
      <c r="H36" s="71">
        <f t="shared" si="12"/>
        <v>299.0826222222222</v>
      </c>
      <c r="I36" s="71">
        <f t="shared" si="12"/>
        <v>311.0459271111111</v>
      </c>
      <c r="J36" s="71">
        <f t="shared" si="12"/>
        <v>323.4877641955556</v>
      </c>
      <c r="K36" s="71">
        <f t="shared" si="12"/>
        <v>336.4272747633778</v>
      </c>
      <c r="L36" s="71">
        <f t="shared" si="12"/>
        <v>349.8843657539129</v>
      </c>
      <c r="M36" s="71">
        <f t="shared" si="12"/>
        <v>363.87974038406946</v>
      </c>
      <c r="N36" s="71">
        <f t="shared" si="12"/>
        <v>378.4349299994322</v>
      </c>
      <c r="O36" s="71">
        <f t="shared" si="12"/>
        <v>393.57232719940953</v>
      </c>
    </row>
    <row r="37" spans="1:15">
      <c r="A37" s="68"/>
      <c r="B37" s="63" t="s">
        <v>167</v>
      </c>
      <c r="C37" s="70" t="s">
        <v>38</v>
      </c>
      <c r="D37" s="70"/>
      <c r="E37" s="68"/>
      <c r="F37" s="69">
        <f t="shared" ref="F37:O37" si="13">SUM(F32:F36)</f>
        <v>7035.4431333333332</v>
      </c>
      <c r="G37" s="69">
        <f t="shared" si="13"/>
        <v>17665.389638888886</v>
      </c>
      <c r="H37" s="69">
        <f t="shared" si="13"/>
        <v>18372.005224444445</v>
      </c>
      <c r="I37" s="69">
        <f t="shared" si="13"/>
        <v>19106.88543342222</v>
      </c>
      <c r="J37" s="69">
        <f t="shared" si="13"/>
        <v>19871.160850759112</v>
      </c>
      <c r="K37" s="69">
        <f t="shared" si="13"/>
        <v>20666.007284789477</v>
      </c>
      <c r="L37" s="69">
        <f t="shared" si="13"/>
        <v>21492.647576181058</v>
      </c>
      <c r="M37" s="69">
        <f t="shared" si="13"/>
        <v>22352.353479228299</v>
      </c>
      <c r="N37" s="69">
        <f t="shared" si="13"/>
        <v>23246.447618397433</v>
      </c>
      <c r="O37" s="69">
        <f t="shared" si="13"/>
        <v>24176.305523133335</v>
      </c>
    </row>
    <row r="38" spans="1:15" ht="15.75">
      <c r="A38" s="21"/>
      <c r="B38" s="67" t="s">
        <v>24</v>
      </c>
      <c r="C38" s="66">
        <v>0.01</v>
      </c>
      <c r="D38" s="66"/>
      <c r="E38" s="65"/>
      <c r="F38" s="64">
        <f t="shared" ref="F38:O38" si="14">F$37*$C38</f>
        <v>70.354431333333338</v>
      </c>
      <c r="G38" s="64">
        <f t="shared" si="14"/>
        <v>176.65389638888885</v>
      </c>
      <c r="H38" s="64">
        <f t="shared" si="14"/>
        <v>183.72005224444445</v>
      </c>
      <c r="I38" s="64">
        <f t="shared" si="14"/>
        <v>191.06885433422221</v>
      </c>
      <c r="J38" s="64">
        <f t="shared" si="14"/>
        <v>198.71160850759111</v>
      </c>
      <c r="K38" s="64">
        <f t="shared" si="14"/>
        <v>206.66007284789478</v>
      </c>
      <c r="L38" s="64">
        <f t="shared" si="14"/>
        <v>214.92647576181059</v>
      </c>
      <c r="M38" s="64">
        <f t="shared" si="14"/>
        <v>223.52353479228299</v>
      </c>
      <c r="N38" s="64">
        <f t="shared" si="14"/>
        <v>232.46447618397434</v>
      </c>
      <c r="O38" s="64">
        <f t="shared" si="14"/>
        <v>241.76305523133334</v>
      </c>
    </row>
    <row r="39" spans="1:15" ht="15.75">
      <c r="A39" s="21"/>
      <c r="B39" s="63" t="s">
        <v>23</v>
      </c>
      <c r="C39" s="62" t="str">
        <f>C37</f>
        <v>(000 omitted)</v>
      </c>
      <c r="D39" s="62"/>
      <c r="E39" s="61"/>
      <c r="F39" s="37">
        <f t="shared" ref="F39:O39" si="15">F37-F38</f>
        <v>6965.088702</v>
      </c>
      <c r="G39" s="37">
        <f t="shared" si="15"/>
        <v>17488.735742499997</v>
      </c>
      <c r="H39" s="37">
        <f t="shared" si="15"/>
        <v>18188.285172200001</v>
      </c>
      <c r="I39" s="37">
        <f t="shared" si="15"/>
        <v>18915.816579087998</v>
      </c>
      <c r="J39" s="37">
        <f t="shared" si="15"/>
        <v>19672.449242251521</v>
      </c>
      <c r="K39" s="37">
        <f t="shared" si="15"/>
        <v>20459.347211941582</v>
      </c>
      <c r="L39" s="37">
        <f t="shared" si="15"/>
        <v>21277.721100419247</v>
      </c>
      <c r="M39" s="37">
        <f t="shared" si="15"/>
        <v>22128.829944436016</v>
      </c>
      <c r="N39" s="37">
        <f t="shared" si="15"/>
        <v>23013.983142213459</v>
      </c>
      <c r="O39" s="37">
        <f t="shared" si="15"/>
        <v>23934.542467902</v>
      </c>
    </row>
    <row r="40" spans="1:15" ht="15.75">
      <c r="A40" s="60"/>
      <c r="B40" s="60"/>
      <c r="C40" s="60"/>
      <c r="D40" s="60"/>
      <c r="E40" s="59"/>
      <c r="F40" s="58"/>
      <c r="G40" s="58"/>
      <c r="H40" s="58"/>
      <c r="I40" s="58"/>
      <c r="J40" s="58"/>
      <c r="K40" s="57"/>
      <c r="L40" s="57"/>
      <c r="M40" s="57"/>
      <c r="N40" s="57"/>
      <c r="O40" s="57"/>
    </row>
    <row r="41" spans="1:15" ht="15.75">
      <c r="A41" s="55" t="s">
        <v>168</v>
      </c>
      <c r="B41" s="22"/>
      <c r="C41" s="22"/>
      <c r="D41" s="22"/>
      <c r="E41" s="54" t="s">
        <v>22</v>
      </c>
      <c r="F41" s="33"/>
      <c r="G41" s="33"/>
      <c r="H41" s="33"/>
      <c r="I41" s="33"/>
      <c r="J41" s="33"/>
      <c r="K41" s="22"/>
      <c r="L41" s="22"/>
      <c r="M41" s="22"/>
      <c r="N41" s="22"/>
      <c r="O41" s="22"/>
    </row>
    <row r="42" spans="1:15" ht="15.75">
      <c r="A42" s="21"/>
      <c r="B42" s="36" t="s">
        <v>47</v>
      </c>
      <c r="C42" s="43">
        <v>60250</v>
      </c>
      <c r="D42" s="43"/>
      <c r="E42" s="48">
        <v>0.03</v>
      </c>
      <c r="F42" s="33">
        <f t="shared" ref="F42:O42" si="16">F21*$C42*(1+$E$42)^(F12-1)/1000</f>
        <v>3759.6</v>
      </c>
      <c r="G42" s="33">
        <f t="shared" si="16"/>
        <v>6516.0375000000004</v>
      </c>
      <c r="H42" s="33">
        <f t="shared" si="16"/>
        <v>6979.97937</v>
      </c>
      <c r="I42" s="33">
        <f t="shared" si="16"/>
        <v>7476.9539011440002</v>
      </c>
      <c r="J42" s="33">
        <f t="shared" si="16"/>
        <v>8009.3130189054509</v>
      </c>
      <c r="K42" s="33">
        <f t="shared" si="16"/>
        <v>8579.57610585152</v>
      </c>
      <c r="L42" s="33">
        <f t="shared" si="16"/>
        <v>9190.441924588149</v>
      </c>
      <c r="M42" s="33">
        <f t="shared" si="16"/>
        <v>9844.8013896188277</v>
      </c>
      <c r="N42" s="33">
        <f t="shared" si="16"/>
        <v>10545.751248559687</v>
      </c>
      <c r="O42" s="33">
        <f t="shared" si="16"/>
        <v>11296.608737457138</v>
      </c>
    </row>
    <row r="43" spans="1:15" ht="15.75">
      <c r="A43" s="21"/>
      <c r="B43" s="36" t="s">
        <v>21</v>
      </c>
      <c r="C43" s="53">
        <v>0.16300000000000001</v>
      </c>
      <c r="D43" s="53"/>
      <c r="E43" s="21"/>
      <c r="F43" s="33">
        <f t="shared" ref="F43:O44" si="17">F$39*$C43</f>
        <v>1135.309458426</v>
      </c>
      <c r="G43" s="33">
        <f t="shared" si="17"/>
        <v>2850.6639260274997</v>
      </c>
      <c r="H43" s="33">
        <f t="shared" si="17"/>
        <v>2964.6904830686003</v>
      </c>
      <c r="I43" s="33">
        <f t="shared" si="17"/>
        <v>3083.2781023913435</v>
      </c>
      <c r="J43" s="33">
        <f t="shared" si="17"/>
        <v>3206.6092264869981</v>
      </c>
      <c r="K43" s="33">
        <f t="shared" si="17"/>
        <v>3334.8735955464781</v>
      </c>
      <c r="L43" s="33">
        <f t="shared" si="17"/>
        <v>3468.2685393683373</v>
      </c>
      <c r="M43" s="33">
        <f t="shared" si="17"/>
        <v>3606.999280943071</v>
      </c>
      <c r="N43" s="33">
        <f t="shared" si="17"/>
        <v>3751.2792521807942</v>
      </c>
      <c r="O43" s="33">
        <f t="shared" si="17"/>
        <v>3901.3304222680263</v>
      </c>
    </row>
    <row r="44" spans="1:15" ht="15.75">
      <c r="A44" s="21"/>
      <c r="B44" s="36" t="s">
        <v>20</v>
      </c>
      <c r="C44" s="50">
        <v>0.08</v>
      </c>
      <c r="D44" s="50"/>
      <c r="E44" s="42"/>
      <c r="F44" s="33">
        <f t="shared" si="17"/>
        <v>557.20709615999999</v>
      </c>
      <c r="G44" s="33">
        <f t="shared" si="17"/>
        <v>1399.0988593999998</v>
      </c>
      <c r="H44" s="33">
        <f t="shared" si="17"/>
        <v>1455.0628137760002</v>
      </c>
      <c r="I44" s="33">
        <f t="shared" si="17"/>
        <v>1513.2653263270399</v>
      </c>
      <c r="J44" s="33">
        <f t="shared" si="17"/>
        <v>1573.7959393801218</v>
      </c>
      <c r="K44" s="33">
        <f t="shared" si="17"/>
        <v>1636.7477769553266</v>
      </c>
      <c r="L44" s="33">
        <f t="shared" si="17"/>
        <v>1702.2176880335398</v>
      </c>
      <c r="M44" s="33">
        <f t="shared" si="17"/>
        <v>1770.3063955548814</v>
      </c>
      <c r="N44" s="33">
        <f t="shared" si="17"/>
        <v>1841.1186513770767</v>
      </c>
      <c r="O44" s="33">
        <f t="shared" si="17"/>
        <v>1914.76339743216</v>
      </c>
    </row>
    <row r="45" spans="1:15" ht="15.75">
      <c r="A45" s="21"/>
      <c r="B45" s="36"/>
      <c r="C45" s="25"/>
      <c r="D45" s="25"/>
      <c r="E45" s="21"/>
      <c r="F45" s="33"/>
      <c r="G45" s="33"/>
      <c r="H45" s="33"/>
      <c r="I45" s="33"/>
      <c r="J45" s="33"/>
      <c r="K45" s="22"/>
      <c r="L45" s="22"/>
      <c r="M45" s="22"/>
      <c r="N45" s="22"/>
      <c r="O45" s="22"/>
    </row>
    <row r="46" spans="1:15" ht="15.75">
      <c r="A46" s="21"/>
      <c r="B46" s="36" t="s">
        <v>19</v>
      </c>
      <c r="C46" s="43">
        <v>1200000</v>
      </c>
      <c r="D46" s="43"/>
      <c r="E46" s="52" t="s">
        <v>46</v>
      </c>
      <c r="F46" s="33">
        <f t="shared" ref="F46:O46" si="18">$C$46/1000+$C$9*F39</f>
        <v>1687.55620914</v>
      </c>
      <c r="G46" s="33">
        <f t="shared" si="18"/>
        <v>2424.2115019749999</v>
      </c>
      <c r="H46" s="33">
        <f t="shared" si="18"/>
        <v>2473.1799620540005</v>
      </c>
      <c r="I46" s="33">
        <f t="shared" si="18"/>
        <v>2524.1071605361599</v>
      </c>
      <c r="J46" s="33">
        <f t="shared" si="18"/>
        <v>2577.0714469576069</v>
      </c>
      <c r="K46" s="33">
        <f t="shared" si="18"/>
        <v>2632.1543048359108</v>
      </c>
      <c r="L46" s="33">
        <f t="shared" si="18"/>
        <v>2689.4404770293477</v>
      </c>
      <c r="M46" s="33">
        <f t="shared" si="18"/>
        <v>2749.0180961105216</v>
      </c>
      <c r="N46" s="33">
        <f t="shared" si="18"/>
        <v>2810.9788199549421</v>
      </c>
      <c r="O46" s="33">
        <f t="shared" si="18"/>
        <v>2875.41797275314</v>
      </c>
    </row>
    <row r="47" spans="1:15" ht="15.75">
      <c r="A47" s="21"/>
      <c r="B47" s="36" t="s">
        <v>124</v>
      </c>
      <c r="C47" s="43">
        <v>200000</v>
      </c>
      <c r="D47" s="43"/>
      <c r="E47" s="48">
        <v>0.03</v>
      </c>
      <c r="F47" s="33">
        <f>C47/1000</f>
        <v>200</v>
      </c>
      <c r="G47" s="33">
        <f t="shared" ref="G47:O47" si="19">F47*(1+$E47)</f>
        <v>206</v>
      </c>
      <c r="H47" s="33">
        <f t="shared" si="19"/>
        <v>212.18</v>
      </c>
      <c r="I47" s="33">
        <f t="shared" si="19"/>
        <v>218.5454</v>
      </c>
      <c r="J47" s="33">
        <f t="shared" si="19"/>
        <v>225.10176200000001</v>
      </c>
      <c r="K47" s="33">
        <f t="shared" si="19"/>
        <v>231.85481486</v>
      </c>
      <c r="L47" s="33">
        <f t="shared" si="19"/>
        <v>238.81045930580001</v>
      </c>
      <c r="M47" s="33">
        <f t="shared" si="19"/>
        <v>245.974773084974</v>
      </c>
      <c r="N47" s="33">
        <f t="shared" si="19"/>
        <v>253.35401627752324</v>
      </c>
      <c r="O47" s="33">
        <f t="shared" si="19"/>
        <v>260.95463676584893</v>
      </c>
    </row>
    <row r="48" spans="1:15" ht="18">
      <c r="A48" s="21"/>
      <c r="B48" s="36" t="s">
        <v>123</v>
      </c>
      <c r="C48" s="43">
        <f>500000*30</f>
        <v>15000000</v>
      </c>
      <c r="D48" s="43"/>
      <c r="E48" s="42"/>
      <c r="F48" s="51">
        <f>15000000/30/1000</f>
        <v>500</v>
      </c>
      <c r="G48" s="51">
        <f t="shared" ref="G48:O48" si="20">F48</f>
        <v>500</v>
      </c>
      <c r="H48" s="51">
        <f t="shared" si="20"/>
        <v>500</v>
      </c>
      <c r="I48" s="51">
        <f t="shared" si="20"/>
        <v>500</v>
      </c>
      <c r="J48" s="51">
        <f t="shared" si="20"/>
        <v>500</v>
      </c>
      <c r="K48" s="51">
        <f t="shared" si="20"/>
        <v>500</v>
      </c>
      <c r="L48" s="51">
        <f t="shared" si="20"/>
        <v>500</v>
      </c>
      <c r="M48" s="51">
        <f t="shared" si="20"/>
        <v>500</v>
      </c>
      <c r="N48" s="51">
        <f t="shared" si="20"/>
        <v>500</v>
      </c>
      <c r="O48" s="51">
        <f t="shared" si="20"/>
        <v>500</v>
      </c>
    </row>
    <row r="49" spans="1:15" ht="15.75">
      <c r="A49" s="21"/>
      <c r="B49" s="40" t="s">
        <v>122</v>
      </c>
      <c r="C49" s="62" t="str">
        <f>C37</f>
        <v>(000 omitted)</v>
      </c>
      <c r="D49" s="43"/>
      <c r="E49" s="21"/>
      <c r="F49" s="124">
        <f t="shared" ref="F49:O49" si="21">SUM(F42:F48)</f>
        <v>7839.6727637260001</v>
      </c>
      <c r="G49" s="124">
        <f t="shared" si="21"/>
        <v>13896.011787402498</v>
      </c>
      <c r="H49" s="124">
        <f t="shared" si="21"/>
        <v>14585.092628898601</v>
      </c>
      <c r="I49" s="124">
        <f t="shared" si="21"/>
        <v>15316.149890398545</v>
      </c>
      <c r="J49" s="124">
        <f t="shared" si="21"/>
        <v>16091.891393730177</v>
      </c>
      <c r="K49" s="124">
        <f t="shared" si="21"/>
        <v>16915.206598049233</v>
      </c>
      <c r="L49" s="124">
        <f t="shared" si="21"/>
        <v>17789.179088325174</v>
      </c>
      <c r="M49" s="124">
        <f t="shared" si="21"/>
        <v>18717.099935312275</v>
      </c>
      <c r="N49" s="124">
        <f t="shared" si="21"/>
        <v>19702.481988350024</v>
      </c>
      <c r="O49" s="124">
        <f t="shared" si="21"/>
        <v>20749.075166676314</v>
      </c>
    </row>
    <row r="50" spans="1:15" ht="15.75">
      <c r="A50" s="21"/>
      <c r="B50" s="29"/>
      <c r="C50" s="50"/>
      <c r="D50" s="50"/>
      <c r="E50" s="42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.75">
      <c r="A51" s="21"/>
      <c r="B51" s="29"/>
      <c r="C51" s="49" t="s">
        <v>70</v>
      </c>
      <c r="D51" s="46" t="s">
        <v>65</v>
      </c>
      <c r="E51" s="48" t="s">
        <v>65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ht="15.75">
      <c r="A52" s="21"/>
      <c r="B52" s="47" t="s">
        <v>69</v>
      </c>
      <c r="C52" s="46" t="s">
        <v>65</v>
      </c>
      <c r="D52" s="45" t="s">
        <v>70</v>
      </c>
      <c r="E52" s="44" t="s">
        <v>69</v>
      </c>
      <c r="F52" s="33" t="s">
        <v>65</v>
      </c>
      <c r="G52" s="33" t="s">
        <v>65</v>
      </c>
      <c r="H52" s="33" t="s">
        <v>65</v>
      </c>
      <c r="I52" s="33" t="s">
        <v>65</v>
      </c>
      <c r="J52" s="33" t="s">
        <v>65</v>
      </c>
      <c r="K52" s="33" t="s">
        <v>65</v>
      </c>
      <c r="L52" s="33" t="s">
        <v>65</v>
      </c>
      <c r="M52" s="33" t="s">
        <v>65</v>
      </c>
      <c r="N52" s="33" t="s">
        <v>71</v>
      </c>
      <c r="O52" s="33" t="s">
        <v>65</v>
      </c>
    </row>
    <row r="53" spans="1:15" ht="15.75">
      <c r="A53" s="21"/>
      <c r="B53" s="29"/>
      <c r="C53" s="43"/>
      <c r="D53" s="43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ht="15.75">
      <c r="A54" s="21"/>
      <c r="B54" s="40" t="s">
        <v>122</v>
      </c>
      <c r="C54" s="39"/>
      <c r="D54" s="39"/>
      <c r="E54" s="38"/>
      <c r="F54" s="37">
        <f t="shared" ref="F54:O54" si="22">SUM(F49:F52)</f>
        <v>7839.6727637260001</v>
      </c>
      <c r="G54" s="37">
        <f t="shared" si="22"/>
        <v>13896.011787402498</v>
      </c>
      <c r="H54" s="37">
        <f t="shared" si="22"/>
        <v>14585.092628898601</v>
      </c>
      <c r="I54" s="37">
        <f t="shared" si="22"/>
        <v>15316.149890398545</v>
      </c>
      <c r="J54" s="37">
        <f t="shared" si="22"/>
        <v>16091.891393730177</v>
      </c>
      <c r="K54" s="37">
        <f t="shared" si="22"/>
        <v>16915.206598049233</v>
      </c>
      <c r="L54" s="37">
        <f t="shared" si="22"/>
        <v>17789.179088325174</v>
      </c>
      <c r="M54" s="37">
        <f t="shared" si="22"/>
        <v>18717.099935312275</v>
      </c>
      <c r="N54" s="37">
        <f t="shared" si="22"/>
        <v>19702.481988350024</v>
      </c>
      <c r="O54" s="37">
        <f t="shared" si="22"/>
        <v>20749.075166676314</v>
      </c>
    </row>
    <row r="55" spans="1:15" ht="15.75">
      <c r="A55" s="21"/>
      <c r="B55" s="36"/>
      <c r="C55" s="35"/>
      <c r="D55" s="35"/>
      <c r="E55" s="34"/>
      <c r="F55" s="33"/>
      <c r="G55" s="33"/>
      <c r="H55" s="33"/>
      <c r="I55" s="33"/>
      <c r="J55" s="33"/>
      <c r="K55" s="22"/>
      <c r="L55" s="22"/>
      <c r="M55" s="22"/>
      <c r="N55" s="22"/>
      <c r="O55" s="22"/>
    </row>
    <row r="56" spans="1:15" ht="15.75">
      <c r="A56" s="94" t="s">
        <v>121</v>
      </c>
      <c r="B56" s="22"/>
      <c r="C56" s="22"/>
      <c r="D56" s="22"/>
      <c r="E56" s="22"/>
      <c r="F56" s="24">
        <f t="shared" ref="F56:O56" si="23">F37-F54</f>
        <v>-804.22963039266688</v>
      </c>
      <c r="G56" s="24">
        <f t="shared" si="23"/>
        <v>3769.377851486388</v>
      </c>
      <c r="H56" s="24">
        <f t="shared" si="23"/>
        <v>3786.9125955458439</v>
      </c>
      <c r="I56" s="24">
        <f t="shared" si="23"/>
        <v>3790.7355430236748</v>
      </c>
      <c r="J56" s="24">
        <f t="shared" si="23"/>
        <v>3779.269457028935</v>
      </c>
      <c r="K56" s="24">
        <f t="shared" si="23"/>
        <v>3750.8006867402437</v>
      </c>
      <c r="L56" s="24">
        <f t="shared" si="23"/>
        <v>3703.4684878558837</v>
      </c>
      <c r="M56" s="24">
        <f t="shared" si="23"/>
        <v>3635.2535439160238</v>
      </c>
      <c r="N56" s="24">
        <f t="shared" si="23"/>
        <v>3543.9656300474089</v>
      </c>
      <c r="O56" s="24">
        <f t="shared" si="23"/>
        <v>3427.2303564570211</v>
      </c>
    </row>
    <row r="57" spans="1:15" ht="15.75">
      <c r="A57" s="21"/>
      <c r="B57" s="22" t="s">
        <v>120</v>
      </c>
      <c r="C57" s="22"/>
      <c r="D57" s="22"/>
      <c r="E57" s="21"/>
      <c r="F57" s="25">
        <f t="shared" ref="F57:O57" si="24">F56/F37</f>
        <v>-0.1143111549835852</v>
      </c>
      <c r="G57" s="25">
        <f t="shared" si="24"/>
        <v>0.21337643428981698</v>
      </c>
      <c r="H57" s="25">
        <f t="shared" si="24"/>
        <v>0.20612407569464739</v>
      </c>
      <c r="I57" s="25">
        <f t="shared" si="24"/>
        <v>0.19839630881927151</v>
      </c>
      <c r="J57" s="25">
        <f t="shared" si="24"/>
        <v>0.19018866010963625</v>
      </c>
      <c r="K57" s="25">
        <f t="shared" si="24"/>
        <v>0.18149614654887375</v>
      </c>
      <c r="L57" s="25">
        <f t="shared" si="24"/>
        <v>0.17231327479450245</v>
      </c>
      <c r="M57" s="25">
        <f t="shared" si="24"/>
        <v>0.16263403973519877</v>
      </c>
      <c r="N57" s="25">
        <f t="shared" si="24"/>
        <v>0.15245192247105682</v>
      </c>
      <c r="O57" s="25">
        <f t="shared" si="24"/>
        <v>0.14175988772054698</v>
      </c>
    </row>
    <row r="58" spans="1:15" ht="15.75">
      <c r="A58" s="21"/>
      <c r="B58" s="22"/>
      <c r="C58" s="22"/>
      <c r="D58" s="22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5.75">
      <c r="A59" s="55" t="s">
        <v>113</v>
      </c>
      <c r="B59" s="22"/>
      <c r="C59" s="22" t="s">
        <v>119</v>
      </c>
      <c r="D59" s="22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5.75">
      <c r="A60" s="21"/>
      <c r="B60" s="22" t="s">
        <v>118</v>
      </c>
      <c r="C60" s="22" t="s">
        <v>114</v>
      </c>
      <c r="D60" s="22"/>
      <c r="E60" s="21"/>
      <c r="F60" s="21">
        <f t="shared" ref="F60:O60" si="25">(F39*30)/365</f>
        <v>572.47304400000007</v>
      </c>
      <c r="G60" s="21">
        <f t="shared" si="25"/>
        <v>1437.4303349999998</v>
      </c>
      <c r="H60" s="21">
        <f t="shared" si="25"/>
        <v>1494.9275484000002</v>
      </c>
      <c r="I60" s="21">
        <f t="shared" si="25"/>
        <v>1554.724650336</v>
      </c>
      <c r="J60" s="21">
        <f t="shared" si="25"/>
        <v>1616.9136363494401</v>
      </c>
      <c r="K60" s="21">
        <f t="shared" si="25"/>
        <v>1681.5901818034176</v>
      </c>
      <c r="L60" s="21">
        <f t="shared" si="25"/>
        <v>1748.8537890755547</v>
      </c>
      <c r="M60" s="21">
        <f t="shared" si="25"/>
        <v>1818.8079406385766</v>
      </c>
      <c r="N60" s="21">
        <f t="shared" si="25"/>
        <v>1891.5602582641202</v>
      </c>
      <c r="O60" s="21">
        <f t="shared" si="25"/>
        <v>1967.2226685946848</v>
      </c>
    </row>
    <row r="61" spans="1:15" ht="15.75">
      <c r="A61" s="21"/>
      <c r="B61" s="22" t="s">
        <v>117</v>
      </c>
      <c r="C61" s="22" t="s">
        <v>116</v>
      </c>
      <c r="D61" s="22"/>
      <c r="E61" s="21"/>
      <c r="F61" s="21">
        <f t="shared" ref="F61:O61" si="26">(F39*$C$43*60)/365</f>
        <v>186.62621234400001</v>
      </c>
      <c r="G61" s="21">
        <f t="shared" si="26"/>
        <v>468.60228920999998</v>
      </c>
      <c r="H61" s="21">
        <f t="shared" si="26"/>
        <v>487.34638077840003</v>
      </c>
      <c r="I61" s="21">
        <f t="shared" si="26"/>
        <v>506.84023600953594</v>
      </c>
      <c r="J61" s="21">
        <f t="shared" si="26"/>
        <v>527.11384544991756</v>
      </c>
      <c r="K61" s="21">
        <f t="shared" si="26"/>
        <v>548.19839926791417</v>
      </c>
      <c r="L61" s="21">
        <f t="shared" si="26"/>
        <v>570.12633523863087</v>
      </c>
      <c r="M61" s="21">
        <f t="shared" si="26"/>
        <v>592.93138864817604</v>
      </c>
      <c r="N61" s="21">
        <f t="shared" si="26"/>
        <v>616.64864419410321</v>
      </c>
      <c r="O61" s="21">
        <f t="shared" si="26"/>
        <v>641.31458996186734</v>
      </c>
    </row>
    <row r="62" spans="1:15" ht="15.75">
      <c r="A62" s="21"/>
      <c r="B62" s="22" t="s">
        <v>115</v>
      </c>
      <c r="C62" s="22" t="s">
        <v>114</v>
      </c>
      <c r="D62" s="22"/>
      <c r="E62" s="21"/>
      <c r="F62" s="21">
        <f t="shared" ref="F62:O62" si="27">(F39*$C$43*30)/365</f>
        <v>93.313106172000005</v>
      </c>
      <c r="G62" s="21">
        <f t="shared" si="27"/>
        <v>234.30114460499999</v>
      </c>
      <c r="H62" s="21">
        <f t="shared" si="27"/>
        <v>243.67319038920002</v>
      </c>
      <c r="I62" s="21">
        <f t="shared" si="27"/>
        <v>253.42011800476797</v>
      </c>
      <c r="J62" s="21">
        <f t="shared" si="27"/>
        <v>263.55692272495878</v>
      </c>
      <c r="K62" s="21">
        <f t="shared" si="27"/>
        <v>274.09919963395708</v>
      </c>
      <c r="L62" s="21">
        <f t="shared" si="27"/>
        <v>285.06316761931544</v>
      </c>
      <c r="M62" s="21">
        <f t="shared" si="27"/>
        <v>296.46569432408802</v>
      </c>
      <c r="N62" s="21">
        <f t="shared" si="27"/>
        <v>308.32432209705161</v>
      </c>
      <c r="O62" s="21">
        <f t="shared" si="27"/>
        <v>320.65729498093367</v>
      </c>
    </row>
    <row r="63" spans="1:15" ht="15.75">
      <c r="A63" s="21"/>
      <c r="B63" s="22" t="s">
        <v>113</v>
      </c>
      <c r="C63" s="22"/>
      <c r="D63" s="22"/>
      <c r="E63" s="21"/>
      <c r="F63" s="21">
        <f t="shared" ref="F63:O63" si="28">(F60+F61-F62)</f>
        <v>665.78615017200013</v>
      </c>
      <c r="G63" s="21">
        <f t="shared" si="28"/>
        <v>1671.7314796049998</v>
      </c>
      <c r="H63" s="21">
        <f t="shared" si="28"/>
        <v>1738.6007387892002</v>
      </c>
      <c r="I63" s="21">
        <f t="shared" si="28"/>
        <v>1808.1447683407678</v>
      </c>
      <c r="J63" s="21">
        <f t="shared" si="28"/>
        <v>1880.4705590743988</v>
      </c>
      <c r="K63" s="21">
        <f t="shared" si="28"/>
        <v>1955.6893814373748</v>
      </c>
      <c r="L63" s="21">
        <f t="shared" si="28"/>
        <v>2033.9169566948701</v>
      </c>
      <c r="M63" s="21">
        <f t="shared" si="28"/>
        <v>2115.2736349626648</v>
      </c>
      <c r="N63" s="21">
        <f t="shared" si="28"/>
        <v>2199.8845803611716</v>
      </c>
      <c r="O63" s="21">
        <f t="shared" si="28"/>
        <v>2287.8799635756181</v>
      </c>
    </row>
    <row r="64" spans="1:15" ht="15.75">
      <c r="A64" s="21"/>
      <c r="B64" s="22" t="s">
        <v>112</v>
      </c>
      <c r="C64" s="22"/>
      <c r="D64" s="22"/>
      <c r="E64" s="21"/>
      <c r="F64" s="21">
        <f>F63</f>
        <v>665.78615017200013</v>
      </c>
      <c r="G64" s="21">
        <f t="shared" ref="G64:O64" si="29">G63-F63</f>
        <v>1005.9453294329996</v>
      </c>
      <c r="H64" s="21">
        <f t="shared" si="29"/>
        <v>66.869259184200473</v>
      </c>
      <c r="I64" s="21">
        <f t="shared" si="29"/>
        <v>69.544029551567519</v>
      </c>
      <c r="J64" s="21">
        <f t="shared" si="29"/>
        <v>72.325790733631038</v>
      </c>
      <c r="K64" s="21">
        <f t="shared" si="29"/>
        <v>75.21882236297597</v>
      </c>
      <c r="L64" s="21">
        <f t="shared" si="29"/>
        <v>78.227575257495346</v>
      </c>
      <c r="M64" s="21">
        <f t="shared" si="29"/>
        <v>81.356678267794678</v>
      </c>
      <c r="N64" s="21">
        <f t="shared" si="29"/>
        <v>84.610945398506828</v>
      </c>
      <c r="O64" s="21">
        <f t="shared" si="29"/>
        <v>87.99538321444652</v>
      </c>
    </row>
    <row r="65" spans="1:15" ht="15.75">
      <c r="A65" s="21"/>
      <c r="B65" s="22"/>
      <c r="C65" s="22"/>
      <c r="D65" s="2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5.75">
      <c r="A66" s="55" t="s">
        <v>111</v>
      </c>
      <c r="B66" s="22"/>
      <c r="C66" s="22"/>
      <c r="D66" s="22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5.75">
      <c r="A67" s="21"/>
      <c r="B67" s="22" t="str">
        <f>A56</f>
        <v>Operating Profit</v>
      </c>
      <c r="C67" s="22"/>
      <c r="D67" s="22"/>
      <c r="E67" s="21"/>
      <c r="F67" s="24">
        <f t="shared" ref="F67:O67" si="30">F56</f>
        <v>-804.22963039266688</v>
      </c>
      <c r="G67" s="24">
        <f t="shared" si="30"/>
        <v>3769.377851486388</v>
      </c>
      <c r="H67" s="24">
        <f t="shared" si="30"/>
        <v>3786.9125955458439</v>
      </c>
      <c r="I67" s="24">
        <f t="shared" si="30"/>
        <v>3790.7355430236748</v>
      </c>
      <c r="J67" s="24">
        <f t="shared" si="30"/>
        <v>3779.269457028935</v>
      </c>
      <c r="K67" s="24">
        <f t="shared" si="30"/>
        <v>3750.8006867402437</v>
      </c>
      <c r="L67" s="24">
        <f t="shared" si="30"/>
        <v>3703.4684878558837</v>
      </c>
      <c r="M67" s="24">
        <f t="shared" si="30"/>
        <v>3635.2535439160238</v>
      </c>
      <c r="N67" s="24">
        <f t="shared" si="30"/>
        <v>3543.9656300474089</v>
      </c>
      <c r="O67" s="24">
        <f t="shared" si="30"/>
        <v>3427.2303564570211</v>
      </c>
    </row>
    <row r="68" spans="1:15" ht="15.75">
      <c r="A68" s="21"/>
      <c r="B68" s="22" t="s">
        <v>110</v>
      </c>
      <c r="C68" s="22"/>
      <c r="D68" s="22"/>
      <c r="E68" s="21"/>
      <c r="F68" s="24">
        <f t="shared" ref="F68:O68" si="31">F48</f>
        <v>500</v>
      </c>
      <c r="G68" s="24">
        <f t="shared" si="31"/>
        <v>500</v>
      </c>
      <c r="H68" s="24">
        <f t="shared" si="31"/>
        <v>500</v>
      </c>
      <c r="I68" s="24">
        <f t="shared" si="31"/>
        <v>500</v>
      </c>
      <c r="J68" s="24">
        <f t="shared" si="31"/>
        <v>500</v>
      </c>
      <c r="K68" s="24">
        <f t="shared" si="31"/>
        <v>500</v>
      </c>
      <c r="L68" s="24">
        <f t="shared" si="31"/>
        <v>500</v>
      </c>
      <c r="M68" s="24">
        <f t="shared" si="31"/>
        <v>500</v>
      </c>
      <c r="N68" s="24">
        <f t="shared" si="31"/>
        <v>500</v>
      </c>
      <c r="O68" s="24">
        <f t="shared" si="31"/>
        <v>500</v>
      </c>
    </row>
    <row r="69" spans="1:15" ht="15.75">
      <c r="A69" s="21"/>
      <c r="B69" s="22" t="s">
        <v>109</v>
      </c>
      <c r="C69" s="22"/>
      <c r="D69" s="22"/>
      <c r="E69" s="24">
        <f>-$C$48/2/1000</f>
        <v>-7500</v>
      </c>
      <c r="F69" s="24">
        <f>-$C$48/2/1000</f>
        <v>-7500</v>
      </c>
      <c r="G69" s="24">
        <v>0</v>
      </c>
      <c r="H69" s="24">
        <f t="shared" ref="H69:O69" si="32">G69</f>
        <v>0</v>
      </c>
      <c r="I69" s="24">
        <f t="shared" si="32"/>
        <v>0</v>
      </c>
      <c r="J69" s="24">
        <f t="shared" si="32"/>
        <v>0</v>
      </c>
      <c r="K69" s="24">
        <f t="shared" si="32"/>
        <v>0</v>
      </c>
      <c r="L69" s="24">
        <f t="shared" si="32"/>
        <v>0</v>
      </c>
      <c r="M69" s="24">
        <f t="shared" si="32"/>
        <v>0</v>
      </c>
      <c r="N69" s="24">
        <f t="shared" si="32"/>
        <v>0</v>
      </c>
      <c r="O69" s="24">
        <f t="shared" si="32"/>
        <v>0</v>
      </c>
    </row>
    <row r="70" spans="1:15" ht="15.75">
      <c r="A70" s="21"/>
      <c r="B70" s="32" t="s">
        <v>108</v>
      </c>
      <c r="C70" s="32"/>
      <c r="D70" s="32"/>
      <c r="E70" s="32"/>
      <c r="F70" s="31">
        <f t="shared" ref="F70:O70" si="33">-F64</f>
        <v>-665.78615017200013</v>
      </c>
      <c r="G70" s="31">
        <f t="shared" si="33"/>
        <v>-1005.9453294329996</v>
      </c>
      <c r="H70" s="31">
        <f t="shared" si="33"/>
        <v>-66.869259184200473</v>
      </c>
      <c r="I70" s="31">
        <f t="shared" si="33"/>
        <v>-69.544029551567519</v>
      </c>
      <c r="J70" s="31">
        <f t="shared" si="33"/>
        <v>-72.325790733631038</v>
      </c>
      <c r="K70" s="31">
        <f t="shared" si="33"/>
        <v>-75.21882236297597</v>
      </c>
      <c r="L70" s="31">
        <f t="shared" si="33"/>
        <v>-78.227575257495346</v>
      </c>
      <c r="M70" s="31">
        <f t="shared" si="33"/>
        <v>-81.356678267794678</v>
      </c>
      <c r="N70" s="31">
        <f t="shared" si="33"/>
        <v>-84.610945398506828</v>
      </c>
      <c r="O70" s="31">
        <f t="shared" si="33"/>
        <v>-87.99538321444652</v>
      </c>
    </row>
    <row r="71" spans="1:15" ht="15.75">
      <c r="A71" s="21"/>
      <c r="B71" s="94" t="s">
        <v>107</v>
      </c>
      <c r="C71" s="94" t="str">
        <f>C37</f>
        <v>(000 omitted)</v>
      </c>
      <c r="D71" s="94"/>
      <c r="E71" s="95">
        <f t="shared" ref="E71:O71" si="34">SUM(E67:E70)</f>
        <v>-7500</v>
      </c>
      <c r="F71" s="95">
        <f t="shared" si="34"/>
        <v>-8470.0157805646668</v>
      </c>
      <c r="G71" s="95">
        <f t="shared" si="34"/>
        <v>3263.4325220533883</v>
      </c>
      <c r="H71" s="95">
        <f t="shared" si="34"/>
        <v>4220.043336361643</v>
      </c>
      <c r="I71" s="95">
        <f t="shared" si="34"/>
        <v>4221.1915134721075</v>
      </c>
      <c r="J71" s="95">
        <f t="shared" si="34"/>
        <v>4206.943666295304</v>
      </c>
      <c r="K71" s="95">
        <f t="shared" si="34"/>
        <v>4175.5818643772673</v>
      </c>
      <c r="L71" s="95">
        <f t="shared" si="34"/>
        <v>4125.2409125983886</v>
      </c>
      <c r="M71" s="95">
        <f t="shared" si="34"/>
        <v>4053.8968656482293</v>
      </c>
      <c r="N71" s="95">
        <f t="shared" si="34"/>
        <v>3959.3546846489021</v>
      </c>
      <c r="O71" s="95">
        <f t="shared" si="34"/>
        <v>3839.2349732425746</v>
      </c>
    </row>
    <row r="72" spans="1:15" ht="16.5" thickBot="1">
      <c r="A72" s="21"/>
      <c r="B72" s="30"/>
      <c r="C72" s="22"/>
      <c r="D72" s="22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5.75">
      <c r="A73" s="21"/>
      <c r="B73" s="108" t="s">
        <v>106</v>
      </c>
      <c r="C73" s="109">
        <f>NPV(C10,F71:AA71)+E71</f>
        <v>5687.3549210569163</v>
      </c>
      <c r="D73" s="94" t="str">
        <f>I5</f>
        <v>(000 ommited)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6.5" thickBot="1">
      <c r="A74" s="21"/>
      <c r="B74" s="107" t="s">
        <v>105</v>
      </c>
      <c r="C74" s="110">
        <f>IRR(E71:AA71)</f>
        <v>0.17638092514880221</v>
      </c>
      <c r="D74" s="25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5.75">
      <c r="A75" s="21"/>
      <c r="B75" s="22"/>
      <c r="C75" s="25"/>
      <c r="D75" s="25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5.75">
      <c r="A76" s="21"/>
      <c r="B76" s="29"/>
      <c r="C76" s="26"/>
      <c r="D76" s="22"/>
      <c r="E76" s="118" t="s">
        <v>48</v>
      </c>
      <c r="F76" s="119">
        <v>1</v>
      </c>
      <c r="G76" s="119">
        <v>2</v>
      </c>
      <c r="H76" s="119">
        <v>3</v>
      </c>
      <c r="I76" s="119">
        <v>4</v>
      </c>
      <c r="J76" s="119">
        <v>5</v>
      </c>
      <c r="K76" s="119">
        <v>6</v>
      </c>
      <c r="L76" s="119">
        <v>7</v>
      </c>
      <c r="M76" s="119">
        <v>8</v>
      </c>
      <c r="N76" s="119">
        <v>9</v>
      </c>
      <c r="O76" s="119">
        <v>10</v>
      </c>
    </row>
    <row r="77" spans="1:15" ht="15.75">
      <c r="A77" s="21"/>
      <c r="B77" s="22" t="s">
        <v>104</v>
      </c>
      <c r="C77" s="26"/>
      <c r="D77" s="22"/>
      <c r="E77" s="21"/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6">
        <f>O63</f>
        <v>2287.8799635756181</v>
      </c>
    </row>
    <row r="78" spans="1:15" ht="15.75">
      <c r="A78" s="21"/>
      <c r="B78" s="22" t="s">
        <v>103</v>
      </c>
      <c r="C78" s="26"/>
      <c r="D78" s="22"/>
      <c r="E78" s="21"/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6">
        <f>15000-SUM(F68:O68)</f>
        <v>10000</v>
      </c>
    </row>
    <row r="79" spans="1:15" ht="16.5" thickBot="1">
      <c r="A79" s="21"/>
      <c r="B79" s="22"/>
      <c r="C79" s="22"/>
      <c r="D79" s="22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5.75">
      <c r="A80" s="21"/>
      <c r="B80" s="108" t="s">
        <v>102</v>
      </c>
      <c r="C80" s="109">
        <f>NPV(C10,F80:O80)+E80</f>
        <v>10424.864582329094</v>
      </c>
      <c r="D80" s="120" t="s">
        <v>44</v>
      </c>
      <c r="E80" s="24">
        <f t="shared" ref="E80:O80" si="35">E71+SUM(E77:E78)</f>
        <v>-7500</v>
      </c>
      <c r="F80" s="24">
        <f t="shared" si="35"/>
        <v>-8470.0157805646668</v>
      </c>
      <c r="G80" s="24">
        <f t="shared" si="35"/>
        <v>3263.4325220533883</v>
      </c>
      <c r="H80" s="24">
        <f t="shared" si="35"/>
        <v>4220.043336361643</v>
      </c>
      <c r="I80" s="24">
        <f t="shared" si="35"/>
        <v>4221.1915134721075</v>
      </c>
      <c r="J80" s="24">
        <f t="shared" si="35"/>
        <v>4206.943666295304</v>
      </c>
      <c r="K80" s="24">
        <f t="shared" si="35"/>
        <v>4175.5818643772673</v>
      </c>
      <c r="L80" s="24">
        <f t="shared" si="35"/>
        <v>4125.2409125983886</v>
      </c>
      <c r="M80" s="24">
        <f t="shared" si="35"/>
        <v>4053.8968656482293</v>
      </c>
      <c r="N80" s="24">
        <f t="shared" si="35"/>
        <v>3959.3546846489021</v>
      </c>
      <c r="O80" s="24">
        <f t="shared" si="35"/>
        <v>16127.114936818194</v>
      </c>
    </row>
    <row r="81" spans="1:15" ht="16.5" thickBot="1">
      <c r="A81" s="21"/>
      <c r="B81" s="107" t="s">
        <v>101</v>
      </c>
      <c r="C81" s="110">
        <f>IRR(E80:O80)</f>
        <v>0.21182909144833961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5.75">
      <c r="A82" s="21"/>
      <c r="B82" s="22"/>
      <c r="C82" s="22"/>
      <c r="D82" s="22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5.75">
      <c r="A83" s="21"/>
      <c r="B83" s="94" t="s">
        <v>100</v>
      </c>
      <c r="C83" s="22"/>
      <c r="D83" s="94" t="str">
        <f>I5</f>
        <v>(000 ommited)</v>
      </c>
      <c r="E83" s="21"/>
      <c r="F83" s="24">
        <f t="shared" ref="F83:O83" si="36">F67-15000*0.08</f>
        <v>-2004.2296303926669</v>
      </c>
      <c r="G83" s="24">
        <f t="shared" si="36"/>
        <v>2569.377851486388</v>
      </c>
      <c r="H83" s="24">
        <f t="shared" si="36"/>
        <v>2586.9125955458439</v>
      </c>
      <c r="I83" s="24">
        <f t="shared" si="36"/>
        <v>2590.7355430236748</v>
      </c>
      <c r="J83" s="24">
        <f t="shared" si="36"/>
        <v>2579.269457028935</v>
      </c>
      <c r="K83" s="24">
        <f t="shared" si="36"/>
        <v>2550.8006867402437</v>
      </c>
      <c r="L83" s="24">
        <f t="shared" si="36"/>
        <v>2503.4684878558837</v>
      </c>
      <c r="M83" s="24">
        <f t="shared" si="36"/>
        <v>2435.2535439160238</v>
      </c>
      <c r="N83" s="24">
        <f t="shared" si="36"/>
        <v>2343.9656300474089</v>
      </c>
      <c r="O83" s="24">
        <f t="shared" si="36"/>
        <v>2227.2303564570211</v>
      </c>
    </row>
    <row r="84" spans="1:15" ht="15.75">
      <c r="A84" s="21"/>
      <c r="B84" s="94" t="s">
        <v>99</v>
      </c>
      <c r="C84" s="22"/>
      <c r="D84" s="22"/>
      <c r="E84" s="21"/>
      <c r="F84" s="23">
        <f t="shared" ref="F84:O84" si="37">F83/F39</f>
        <v>-0.28775364049809726</v>
      </c>
      <c r="G84" s="23">
        <f t="shared" si="37"/>
        <v>0.1469161573093275</v>
      </c>
      <c r="H84" s="23">
        <f t="shared" si="37"/>
        <v>0.14222960389359998</v>
      </c>
      <c r="I84" s="23">
        <f t="shared" si="37"/>
        <v>0.1369613377351</v>
      </c>
      <c r="J84" s="23">
        <f t="shared" si="37"/>
        <v>0.13111074402923387</v>
      </c>
      <c r="K84" s="23">
        <f t="shared" si="37"/>
        <v>0.12467654321108586</v>
      </c>
      <c r="L84" s="23">
        <f t="shared" si="37"/>
        <v>0.11765679585895862</v>
      </c>
      <c r="M84" s="23">
        <f t="shared" si="37"/>
        <v>0.11004890678950398</v>
      </c>
      <c r="N84" s="23">
        <f t="shared" si="37"/>
        <v>0.10184962835694374</v>
      </c>
      <c r="O84" s="23">
        <f t="shared" si="37"/>
        <v>9.3055062967838331E-2</v>
      </c>
    </row>
    <row r="85" spans="1:15" ht="15.75">
      <c r="A85" s="21"/>
      <c r="B85" s="22"/>
      <c r="C85" s="22"/>
      <c r="D85" s="22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ht="15.75">
      <c r="A86" s="142" t="s">
        <v>180</v>
      </c>
      <c r="B86" s="215" t="s">
        <v>2</v>
      </c>
      <c r="C86" s="143"/>
      <c r="D86" s="143"/>
      <c r="E86" s="142"/>
      <c r="F86" s="142"/>
      <c r="G86" s="142"/>
      <c r="H86" s="142"/>
      <c r="I86" s="142"/>
      <c r="J86" s="21"/>
      <c r="K86" s="21"/>
      <c r="L86" s="21"/>
      <c r="M86" s="21"/>
      <c r="N86" s="21"/>
      <c r="O86" s="21"/>
    </row>
    <row r="87" spans="1:15" ht="15.75">
      <c r="A87" s="142"/>
      <c r="B87" s="143"/>
      <c r="C87" s="143"/>
      <c r="D87" s="143"/>
      <c r="E87" s="142"/>
      <c r="F87" s="142"/>
      <c r="G87" s="142"/>
      <c r="H87" s="142"/>
      <c r="I87" s="142"/>
      <c r="J87" s="21"/>
      <c r="K87" s="21"/>
      <c r="L87" s="21"/>
      <c r="M87" s="21"/>
      <c r="N87" s="21"/>
      <c r="O87" s="21"/>
    </row>
    <row r="88" spans="1:15" ht="15.75">
      <c r="A88" s="147" t="s">
        <v>183</v>
      </c>
      <c r="B88" s="143" t="s">
        <v>181</v>
      </c>
      <c r="C88" s="143"/>
      <c r="D88" s="143"/>
      <c r="E88" s="142"/>
      <c r="F88" s="142"/>
      <c r="G88" s="142"/>
      <c r="H88" s="142"/>
      <c r="I88" s="142"/>
      <c r="J88" s="21"/>
      <c r="K88" s="21"/>
      <c r="L88" s="21"/>
      <c r="M88" s="21"/>
      <c r="N88" s="21"/>
      <c r="O88" s="21"/>
    </row>
    <row r="89" spans="1:15" ht="15.75">
      <c r="A89" s="147"/>
      <c r="B89" s="143" t="s">
        <v>5</v>
      </c>
      <c r="C89" s="143"/>
      <c r="D89" s="143"/>
      <c r="E89" s="142"/>
      <c r="F89" s="142"/>
      <c r="G89" s="142"/>
      <c r="H89" s="142"/>
      <c r="I89" s="142"/>
      <c r="J89" s="21"/>
      <c r="K89" s="21"/>
      <c r="L89" s="21"/>
      <c r="M89" s="21"/>
      <c r="N89" s="21"/>
      <c r="O89" s="21"/>
    </row>
    <row r="90" spans="1:15" ht="16.5" thickBot="1">
      <c r="A90" s="147"/>
      <c r="B90" s="143" t="s">
        <v>182</v>
      </c>
      <c r="C90" s="143"/>
      <c r="D90" s="143"/>
      <c r="E90" s="142"/>
      <c r="F90" s="142"/>
      <c r="G90" s="142"/>
      <c r="H90" s="142"/>
      <c r="I90" s="142"/>
      <c r="J90" s="21"/>
      <c r="K90" s="21"/>
      <c r="L90" s="21"/>
      <c r="M90" s="21"/>
      <c r="N90" s="21"/>
      <c r="O90" s="21"/>
    </row>
    <row r="91" spans="1:15" ht="15.75">
      <c r="A91" s="147"/>
      <c r="B91" s="230" t="s">
        <v>238</v>
      </c>
      <c r="C91" s="231"/>
      <c r="D91" s="231"/>
      <c r="E91" s="231"/>
      <c r="F91" s="231"/>
      <c r="G91" s="232"/>
      <c r="H91" s="142"/>
      <c r="I91" s="142"/>
      <c r="J91" s="21"/>
      <c r="K91" s="21"/>
      <c r="L91" s="21"/>
      <c r="M91" s="21"/>
      <c r="N91" s="21"/>
      <c r="O91" s="21"/>
    </row>
    <row r="92" spans="1:15" ht="15.75">
      <c r="A92" s="147"/>
      <c r="B92" s="233" t="s">
        <v>239</v>
      </c>
      <c r="C92" s="234"/>
      <c r="D92" s="234"/>
      <c r="E92" s="234"/>
      <c r="F92" s="234"/>
      <c r="G92" s="235"/>
      <c r="H92" s="142"/>
      <c r="I92" s="142"/>
      <c r="J92" s="21"/>
      <c r="K92" s="21"/>
      <c r="L92" s="21"/>
      <c r="M92" s="21"/>
      <c r="N92" s="21"/>
      <c r="O92" s="21"/>
    </row>
    <row r="93" spans="1:15" ht="15.75">
      <c r="A93" s="147"/>
      <c r="B93" s="233" t="s">
        <v>240</v>
      </c>
      <c r="C93" s="234"/>
      <c r="D93" s="234"/>
      <c r="E93" s="234"/>
      <c r="F93" s="234"/>
      <c r="G93" s="235"/>
      <c r="H93" s="142"/>
      <c r="I93" s="142"/>
      <c r="J93" s="21"/>
      <c r="K93" s="21"/>
      <c r="L93" s="21"/>
      <c r="M93" s="21"/>
      <c r="N93" s="21"/>
      <c r="O93" s="21"/>
    </row>
    <row r="94" spans="1:15" ht="15.75">
      <c r="A94" s="147"/>
      <c r="B94" s="233" t="s">
        <v>241</v>
      </c>
      <c r="C94" s="234"/>
      <c r="D94" s="234"/>
      <c r="E94" s="234"/>
      <c r="F94" s="234"/>
      <c r="G94" s="235"/>
      <c r="H94" s="142"/>
      <c r="I94" s="142"/>
      <c r="J94" s="21"/>
      <c r="K94" s="21"/>
      <c r="L94" s="21"/>
      <c r="M94" s="21"/>
      <c r="N94" s="21"/>
      <c r="O94" s="21"/>
    </row>
    <row r="95" spans="1:15" ht="15.75">
      <c r="A95" s="147"/>
      <c r="B95" s="233" t="s">
        <v>242</v>
      </c>
      <c r="C95" s="234"/>
      <c r="D95" s="234"/>
      <c r="E95" s="234"/>
      <c r="F95" s="234"/>
      <c r="G95" s="235"/>
      <c r="H95" s="142"/>
      <c r="I95" s="142"/>
      <c r="J95" s="21"/>
      <c r="K95" s="21"/>
      <c r="L95" s="21"/>
      <c r="M95" s="21"/>
      <c r="N95" s="21"/>
      <c r="O95" s="21"/>
    </row>
    <row r="96" spans="1:15" ht="16.5" thickBot="1">
      <c r="A96" s="148"/>
      <c r="B96" s="236" t="s">
        <v>243</v>
      </c>
      <c r="C96" s="237"/>
      <c r="D96" s="237"/>
      <c r="E96" s="237"/>
      <c r="F96" s="237"/>
      <c r="G96" s="238"/>
      <c r="H96" s="144"/>
      <c r="I96" s="144"/>
      <c r="J96" s="132"/>
      <c r="K96" s="132"/>
      <c r="L96" s="132"/>
      <c r="M96" s="132"/>
      <c r="N96" s="132"/>
      <c r="O96" s="132"/>
    </row>
    <row r="97" spans="1:9" ht="15.75">
      <c r="A97" s="141" t="s">
        <v>39</v>
      </c>
      <c r="B97" s="145"/>
      <c r="C97" s="145"/>
      <c r="D97" s="145"/>
      <c r="E97" s="145"/>
      <c r="F97" s="145"/>
      <c r="G97" s="145"/>
      <c r="H97" s="145"/>
      <c r="I97" s="145"/>
    </row>
    <row r="98" spans="1:9" ht="15.75">
      <c r="A98" s="141" t="s">
        <v>184</v>
      </c>
      <c r="B98" s="176" t="s">
        <v>72</v>
      </c>
      <c r="C98" s="145"/>
      <c r="D98" s="145"/>
      <c r="E98" s="145"/>
      <c r="F98" s="145"/>
      <c r="G98" s="145"/>
      <c r="H98" s="145"/>
      <c r="I98" s="145"/>
    </row>
    <row r="99" spans="1:9" ht="16.5" thickBot="1">
      <c r="A99" s="141"/>
      <c r="B99" s="176" t="s">
        <v>73</v>
      </c>
      <c r="C99" s="145"/>
      <c r="D99" s="145"/>
      <c r="E99" s="145"/>
      <c r="F99" s="145"/>
      <c r="G99" s="145"/>
      <c r="H99" s="145"/>
      <c r="I99" s="145"/>
    </row>
    <row r="100" spans="1:9" ht="15.75">
      <c r="A100" s="141" t="s">
        <v>185</v>
      </c>
      <c r="B100" s="152"/>
      <c r="C100" s="153"/>
      <c r="D100" s="153"/>
      <c r="E100" s="153"/>
      <c r="F100" s="153"/>
      <c r="G100" s="154"/>
      <c r="H100" s="145"/>
      <c r="I100" s="145"/>
    </row>
    <row r="101" spans="1:9" ht="15.75">
      <c r="A101" s="141"/>
      <c r="B101" s="155"/>
      <c r="C101" s="156"/>
      <c r="D101" s="156"/>
      <c r="E101" s="156"/>
      <c r="F101" s="156"/>
      <c r="G101" s="157"/>
      <c r="H101" s="145"/>
      <c r="I101" s="145"/>
    </row>
    <row r="102" spans="1:9" ht="15.75">
      <c r="A102" s="141"/>
      <c r="B102" s="155"/>
      <c r="C102" s="156"/>
      <c r="D102" s="156"/>
      <c r="E102" s="156"/>
      <c r="F102" s="156"/>
      <c r="G102" s="157"/>
      <c r="H102" s="145"/>
      <c r="I102" s="145"/>
    </row>
    <row r="103" spans="1:9" ht="15.75">
      <c r="A103" s="141"/>
      <c r="B103" s="155"/>
      <c r="C103" s="156"/>
      <c r="D103" s="156"/>
      <c r="E103" s="156"/>
      <c r="F103" s="156"/>
      <c r="G103" s="157"/>
      <c r="H103" s="145"/>
      <c r="I103" s="145"/>
    </row>
    <row r="104" spans="1:9" ht="15.75">
      <c r="A104" s="141"/>
      <c r="B104" s="155"/>
      <c r="C104" s="156"/>
      <c r="D104" s="156"/>
      <c r="E104" s="156"/>
      <c r="F104" s="156"/>
      <c r="G104" s="157"/>
      <c r="H104" s="145"/>
      <c r="I104" s="145"/>
    </row>
    <row r="105" spans="1:9" ht="15.75">
      <c r="A105" s="141"/>
      <c r="B105" s="155"/>
      <c r="C105" s="156"/>
      <c r="D105" s="156"/>
      <c r="E105" s="156"/>
      <c r="F105" s="156"/>
      <c r="G105" s="157"/>
      <c r="H105" s="145"/>
      <c r="I105" s="145"/>
    </row>
    <row r="106" spans="1:9" ht="15.75">
      <c r="A106" s="141"/>
      <c r="B106" s="155"/>
      <c r="C106" s="156"/>
      <c r="D106" s="156"/>
      <c r="E106" s="156"/>
      <c r="F106" s="156"/>
      <c r="G106" s="157"/>
      <c r="H106" s="145"/>
      <c r="I106" s="145"/>
    </row>
    <row r="107" spans="1:9" ht="15.75">
      <c r="A107" s="141"/>
      <c r="B107" s="155"/>
      <c r="C107" s="156"/>
      <c r="D107" s="156"/>
      <c r="E107" s="156"/>
      <c r="F107" s="156"/>
      <c r="G107" s="157"/>
      <c r="H107" s="145"/>
      <c r="I107" s="145"/>
    </row>
    <row r="108" spans="1:9" ht="15.75">
      <c r="A108" s="141"/>
      <c r="B108" s="155"/>
      <c r="C108" s="156"/>
      <c r="D108" s="156"/>
      <c r="E108" s="156"/>
      <c r="F108" s="156"/>
      <c r="G108" s="157"/>
      <c r="H108" s="145"/>
      <c r="I108" s="145"/>
    </row>
    <row r="109" spans="1:9" ht="15.75">
      <c r="A109" s="141"/>
      <c r="B109" s="155"/>
      <c r="C109" s="156"/>
      <c r="D109" s="156"/>
      <c r="E109" s="156"/>
      <c r="F109" s="156"/>
      <c r="G109" s="157"/>
      <c r="H109" s="145"/>
      <c r="I109" s="145"/>
    </row>
    <row r="110" spans="1:9" ht="15.75">
      <c r="A110" s="141"/>
      <c r="B110" s="155"/>
      <c r="C110" s="156"/>
      <c r="D110" s="156"/>
      <c r="E110" s="156"/>
      <c r="F110" s="156"/>
      <c r="G110" s="157"/>
      <c r="H110" s="145"/>
      <c r="I110" s="145"/>
    </row>
    <row r="111" spans="1:9" ht="15.75">
      <c r="A111" s="141"/>
      <c r="B111" s="155"/>
      <c r="C111" s="156"/>
      <c r="D111" s="156"/>
      <c r="E111" s="156"/>
      <c r="F111" s="156"/>
      <c r="G111" s="157"/>
      <c r="H111" s="145"/>
      <c r="I111" s="145"/>
    </row>
    <row r="112" spans="1:9" ht="16.5" thickBot="1">
      <c r="A112" s="141"/>
      <c r="B112" s="149"/>
      <c r="C112" s="150"/>
      <c r="D112" s="150"/>
      <c r="E112" s="150"/>
      <c r="F112" s="150"/>
      <c r="G112" s="151"/>
      <c r="H112" s="145"/>
      <c r="I112" s="145"/>
    </row>
    <row r="113" spans="1:9" ht="15.75">
      <c r="A113" s="141"/>
      <c r="B113" s="145"/>
      <c r="C113" s="145"/>
      <c r="D113" s="145"/>
      <c r="E113" s="145"/>
      <c r="F113" s="145"/>
      <c r="G113" s="145"/>
      <c r="H113" s="145"/>
      <c r="I113" s="145"/>
    </row>
    <row r="114" spans="1:9" ht="15.75">
      <c r="A114" s="141" t="s">
        <v>186</v>
      </c>
      <c r="B114" s="176" t="s">
        <v>74</v>
      </c>
      <c r="C114" s="145"/>
      <c r="D114" s="145"/>
      <c r="E114" s="145"/>
      <c r="F114" s="145"/>
      <c r="G114" s="145"/>
      <c r="H114" s="145"/>
      <c r="I114" s="145"/>
    </row>
    <row r="115" spans="1:9" ht="16.5" thickBot="1">
      <c r="A115" s="141"/>
      <c r="B115" s="176" t="s">
        <v>6</v>
      </c>
      <c r="C115" s="145"/>
      <c r="D115" s="145"/>
      <c r="E115" s="145"/>
      <c r="F115" s="145"/>
      <c r="G115" s="145"/>
      <c r="H115" s="145"/>
      <c r="I115" s="145"/>
    </row>
    <row r="116" spans="1:9">
      <c r="A116" s="145"/>
      <c r="B116" s="152"/>
      <c r="C116" s="153"/>
      <c r="D116" s="153"/>
      <c r="E116" s="153"/>
      <c r="F116" s="153"/>
      <c r="G116" s="154"/>
      <c r="H116" s="145"/>
      <c r="I116" s="145"/>
    </row>
    <row r="117" spans="1:9">
      <c r="A117" s="145"/>
      <c r="B117" s="155"/>
      <c r="C117" s="156"/>
      <c r="D117" s="156"/>
      <c r="E117" s="156"/>
      <c r="F117" s="156"/>
      <c r="G117" s="157"/>
      <c r="H117" s="145"/>
      <c r="I117" s="145"/>
    </row>
    <row r="118" spans="1:9">
      <c r="A118" s="145"/>
      <c r="B118" s="155"/>
      <c r="C118" s="156"/>
      <c r="D118" s="156"/>
      <c r="E118" s="156"/>
      <c r="F118" s="156"/>
      <c r="G118" s="157"/>
      <c r="H118" s="145"/>
      <c r="I118" s="145"/>
    </row>
    <row r="119" spans="1:9">
      <c r="A119" s="145"/>
      <c r="B119" s="155"/>
      <c r="C119" s="156"/>
      <c r="D119" s="156"/>
      <c r="E119" s="156"/>
      <c r="F119" s="156"/>
      <c r="G119" s="157"/>
      <c r="H119" s="145"/>
      <c r="I119" s="145"/>
    </row>
    <row r="120" spans="1:9">
      <c r="A120" s="145"/>
      <c r="B120" s="155"/>
      <c r="C120" s="156"/>
      <c r="D120" s="156"/>
      <c r="E120" s="156"/>
      <c r="F120" s="156"/>
      <c r="G120" s="157"/>
      <c r="H120" s="145"/>
      <c r="I120" s="145"/>
    </row>
    <row r="121" spans="1:9">
      <c r="A121" s="145"/>
      <c r="B121" s="155"/>
      <c r="C121" s="156"/>
      <c r="D121" s="156"/>
      <c r="E121" s="156"/>
      <c r="F121" s="156"/>
      <c r="G121" s="157"/>
      <c r="H121" s="145"/>
      <c r="I121" s="145"/>
    </row>
    <row r="122" spans="1:9">
      <c r="A122" s="145"/>
      <c r="B122" s="155"/>
      <c r="C122" s="156"/>
      <c r="D122" s="156"/>
      <c r="E122" s="156"/>
      <c r="F122" s="156"/>
      <c r="G122" s="157"/>
      <c r="H122" s="145"/>
      <c r="I122" s="145"/>
    </row>
    <row r="123" spans="1:9">
      <c r="A123" s="145"/>
      <c r="B123" s="155"/>
      <c r="C123" s="156"/>
      <c r="D123" s="156"/>
      <c r="E123" s="156"/>
      <c r="F123" s="156"/>
      <c r="G123" s="157"/>
      <c r="H123" s="145"/>
      <c r="I123" s="145"/>
    </row>
    <row r="124" spans="1:9">
      <c r="A124" s="145"/>
      <c r="B124" s="155"/>
      <c r="C124" s="156"/>
      <c r="D124" s="156"/>
      <c r="E124" s="156"/>
      <c r="F124" s="156"/>
      <c r="G124" s="157"/>
      <c r="H124" s="145"/>
      <c r="I124" s="145"/>
    </row>
    <row r="125" spans="1:9">
      <c r="A125" s="145"/>
      <c r="B125" s="155"/>
      <c r="C125" s="156"/>
      <c r="D125" s="156"/>
      <c r="E125" s="156"/>
      <c r="F125" s="156"/>
      <c r="G125" s="157"/>
      <c r="H125" s="145"/>
      <c r="I125" s="145"/>
    </row>
    <row r="126" spans="1:9">
      <c r="A126" s="145"/>
      <c r="B126" s="155"/>
      <c r="C126" s="156"/>
      <c r="D126" s="156"/>
      <c r="E126" s="156"/>
      <c r="F126" s="156"/>
      <c r="G126" s="157"/>
      <c r="H126" s="145"/>
      <c r="I126" s="145"/>
    </row>
    <row r="127" spans="1:9">
      <c r="A127" s="145"/>
      <c r="B127" s="155"/>
      <c r="C127" s="156"/>
      <c r="D127" s="156"/>
      <c r="E127" s="156"/>
      <c r="F127" s="156"/>
      <c r="G127" s="157"/>
      <c r="H127" s="145"/>
      <c r="I127" s="145"/>
    </row>
    <row r="128" spans="1:9">
      <c r="A128" s="145"/>
      <c r="B128" s="155"/>
      <c r="C128" s="156"/>
      <c r="D128" s="156"/>
      <c r="E128" s="156"/>
      <c r="F128" s="156"/>
      <c r="G128" s="157"/>
      <c r="H128" s="145"/>
      <c r="I128" s="145"/>
    </row>
    <row r="129" spans="1:9" ht="15.75" thickBot="1">
      <c r="A129" s="145"/>
      <c r="B129" s="149"/>
      <c r="C129" s="150"/>
      <c r="D129" s="150"/>
      <c r="E129" s="150"/>
      <c r="F129" s="150"/>
      <c r="G129" s="151"/>
      <c r="H129" s="145"/>
      <c r="I129" s="145"/>
    </row>
    <row r="130" spans="1:9">
      <c r="A130" s="145"/>
      <c r="B130" s="145"/>
      <c r="C130" s="145"/>
      <c r="D130" s="145"/>
      <c r="E130" s="145"/>
      <c r="F130" s="145"/>
      <c r="G130" s="145"/>
      <c r="H130" s="145"/>
      <c r="I130" s="145"/>
    </row>
    <row r="131" spans="1:9" ht="16.5" thickBot="1">
      <c r="A131" s="141" t="s">
        <v>236</v>
      </c>
      <c r="B131" s="176" t="s">
        <v>4</v>
      </c>
      <c r="C131" s="145"/>
      <c r="D131" s="145"/>
      <c r="E131" s="145"/>
      <c r="F131" s="145"/>
      <c r="G131" s="145"/>
      <c r="H131" s="145"/>
      <c r="I131" s="145"/>
    </row>
    <row r="132" spans="1:9">
      <c r="A132" s="145"/>
      <c r="B132" s="152"/>
      <c r="C132" s="153"/>
      <c r="D132" s="153"/>
      <c r="E132" s="153"/>
      <c r="F132" s="153"/>
      <c r="G132" s="154"/>
      <c r="H132" s="145"/>
      <c r="I132" s="145"/>
    </row>
    <row r="133" spans="1:9">
      <c r="A133" s="145"/>
      <c r="B133" s="155"/>
      <c r="C133" s="156"/>
      <c r="D133" s="156"/>
      <c r="E133" s="156"/>
      <c r="F133" s="156"/>
      <c r="G133" s="157"/>
      <c r="H133" s="145"/>
      <c r="I133" s="145"/>
    </row>
    <row r="134" spans="1:9">
      <c r="A134" s="145"/>
      <c r="B134" s="155"/>
      <c r="C134" s="156"/>
      <c r="D134" s="156"/>
      <c r="E134" s="156"/>
      <c r="F134" s="156"/>
      <c r="G134" s="157"/>
      <c r="H134" s="145"/>
      <c r="I134" s="145"/>
    </row>
    <row r="135" spans="1:9">
      <c r="A135" s="145"/>
      <c r="B135" s="155"/>
      <c r="C135" s="156"/>
      <c r="D135" s="156"/>
      <c r="E135" s="156"/>
      <c r="F135" s="156"/>
      <c r="G135" s="157"/>
      <c r="H135" s="145"/>
      <c r="I135" s="145"/>
    </row>
    <row r="136" spans="1:9">
      <c r="A136" s="145"/>
      <c r="B136" s="155"/>
      <c r="C136" s="156"/>
      <c r="D136" s="156"/>
      <c r="E136" s="156"/>
      <c r="F136" s="156"/>
      <c r="G136" s="157"/>
      <c r="H136" s="145"/>
      <c r="I136" s="145"/>
    </row>
    <row r="137" spans="1:9">
      <c r="A137" s="145"/>
      <c r="B137" s="155"/>
      <c r="C137" s="156"/>
      <c r="D137" s="156"/>
      <c r="E137" s="156"/>
      <c r="F137" s="156"/>
      <c r="G137" s="157"/>
      <c r="H137" s="145"/>
      <c r="I137" s="145"/>
    </row>
    <row r="138" spans="1:9">
      <c r="A138" s="145"/>
      <c r="B138" s="155"/>
      <c r="C138" s="156"/>
      <c r="D138" s="156"/>
      <c r="E138" s="156"/>
      <c r="F138" s="156"/>
      <c r="G138" s="157"/>
      <c r="H138" s="145"/>
      <c r="I138" s="145"/>
    </row>
    <row r="139" spans="1:9">
      <c r="A139" s="145"/>
      <c r="B139" s="155"/>
      <c r="C139" s="156"/>
      <c r="D139" s="156"/>
      <c r="E139" s="156"/>
      <c r="F139" s="156"/>
      <c r="G139" s="157"/>
      <c r="H139" s="145"/>
      <c r="I139" s="145"/>
    </row>
    <row r="140" spans="1:9">
      <c r="A140" s="145"/>
      <c r="B140" s="155"/>
      <c r="C140" s="156"/>
      <c r="D140" s="156"/>
      <c r="E140" s="156"/>
      <c r="F140" s="156"/>
      <c r="G140" s="157"/>
      <c r="H140" s="145"/>
      <c r="I140" s="145"/>
    </row>
    <row r="141" spans="1:9">
      <c r="A141" s="145"/>
      <c r="B141" s="155"/>
      <c r="C141" s="156"/>
      <c r="D141" s="156"/>
      <c r="E141" s="156"/>
      <c r="F141" s="156"/>
      <c r="G141" s="157"/>
      <c r="H141" s="145"/>
      <c r="I141" s="145"/>
    </row>
    <row r="142" spans="1:9">
      <c r="A142" s="145"/>
      <c r="B142" s="155"/>
      <c r="C142" s="156"/>
      <c r="D142" s="156"/>
      <c r="E142" s="156"/>
      <c r="F142" s="156"/>
      <c r="G142" s="157"/>
      <c r="H142" s="145"/>
      <c r="I142" s="145"/>
    </row>
    <row r="143" spans="1:9">
      <c r="A143" s="145"/>
      <c r="B143" s="155"/>
      <c r="C143" s="156"/>
      <c r="D143" s="156"/>
      <c r="E143" s="156"/>
      <c r="F143" s="156"/>
      <c r="G143" s="157"/>
      <c r="H143" s="145"/>
      <c r="I143" s="145"/>
    </row>
    <row r="144" spans="1:9">
      <c r="A144" s="145"/>
      <c r="B144" s="155"/>
      <c r="C144" s="156"/>
      <c r="D144" s="156"/>
      <c r="E144" s="156"/>
      <c r="F144" s="156"/>
      <c r="G144" s="157"/>
      <c r="H144" s="145"/>
      <c r="I144" s="145"/>
    </row>
    <row r="145" spans="1:9" ht="15.75" thickBot="1">
      <c r="A145" s="145"/>
      <c r="B145" s="149"/>
      <c r="C145" s="150"/>
      <c r="D145" s="150"/>
      <c r="E145" s="150"/>
      <c r="F145" s="150"/>
      <c r="G145" s="151"/>
      <c r="H145" s="145"/>
      <c r="I145" s="145"/>
    </row>
    <row r="146" spans="1:9">
      <c r="A146" s="145"/>
      <c r="B146" s="145"/>
      <c r="C146" s="145"/>
      <c r="D146" s="145"/>
      <c r="E146" s="145"/>
      <c r="F146" s="145"/>
      <c r="G146" s="145"/>
      <c r="H146" s="145"/>
      <c r="I146" s="145"/>
    </row>
    <row r="147" spans="1:9">
      <c r="A147" s="145"/>
      <c r="B147" s="145"/>
      <c r="C147" s="145"/>
      <c r="D147" s="145"/>
      <c r="E147" s="145"/>
      <c r="F147" s="145"/>
      <c r="G147" s="145"/>
      <c r="H147" s="145"/>
      <c r="I147" s="145"/>
    </row>
    <row r="148" spans="1:9">
      <c r="A148" s="145"/>
      <c r="B148" s="145"/>
      <c r="C148" s="145"/>
      <c r="D148" s="145"/>
      <c r="E148" s="145"/>
      <c r="F148" s="145"/>
      <c r="G148" s="145"/>
      <c r="H148" s="145"/>
      <c r="I148" s="145"/>
    </row>
    <row r="149" spans="1:9">
      <c r="A149" s="145"/>
      <c r="B149" s="145"/>
      <c r="C149" s="145"/>
      <c r="D149" s="145"/>
      <c r="E149" s="145"/>
      <c r="F149" s="145"/>
      <c r="G149" s="145"/>
      <c r="H149" s="145"/>
      <c r="I149" s="145"/>
    </row>
  </sheetData>
  <phoneticPr fontId="8" type="noConversion"/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86"/>
  <sheetViews>
    <sheetView zoomScale="125" workbookViewId="0"/>
  </sheetViews>
  <sheetFormatPr defaultColWidth="7.5546875" defaultRowHeight="15"/>
  <cols>
    <col min="1" max="1" width="39.109375" customWidth="1"/>
    <col min="2" max="2" width="10.44140625" customWidth="1"/>
    <col min="3" max="3" width="14.5546875" customWidth="1"/>
    <col min="4" max="4" width="20.6640625" customWidth="1"/>
    <col min="5" max="5" width="13.109375" customWidth="1"/>
    <col min="6" max="6" width="11" customWidth="1"/>
    <col min="7" max="7" width="12.5546875" customWidth="1"/>
  </cols>
  <sheetData>
    <row r="1" spans="1:13" ht="15.75">
      <c r="A1" s="216" t="s">
        <v>189</v>
      </c>
      <c r="B1" s="217"/>
      <c r="C1" s="217"/>
      <c r="D1" s="217"/>
      <c r="E1" s="134"/>
      <c r="F1" s="134"/>
    </row>
    <row r="2" spans="1:13" ht="16.5" thickBot="1">
      <c r="A2" s="218"/>
      <c r="B2" s="145"/>
      <c r="C2" s="145"/>
      <c r="D2" s="145"/>
      <c r="E2" s="134"/>
      <c r="F2" s="134"/>
    </row>
    <row r="3" spans="1:13" ht="15.75">
      <c r="A3" s="218" t="s">
        <v>190</v>
      </c>
      <c r="B3" s="145"/>
      <c r="C3" s="136" t="s">
        <v>191</v>
      </c>
      <c r="D3" s="136" t="s">
        <v>192</v>
      </c>
      <c r="F3" s="196" t="s">
        <v>220</v>
      </c>
      <c r="G3" s="197"/>
      <c r="H3" s="197"/>
      <c r="I3" s="197"/>
      <c r="J3" s="197"/>
      <c r="K3" s="197"/>
      <c r="L3" s="198"/>
    </row>
    <row r="4" spans="1:13" ht="15.75">
      <c r="A4" s="216" t="s">
        <v>193</v>
      </c>
      <c r="B4" s="216"/>
      <c r="C4" s="217"/>
      <c r="D4" s="217"/>
      <c r="E4" s="11"/>
      <c r="F4" s="199" t="s">
        <v>78</v>
      </c>
      <c r="G4" s="200"/>
      <c r="H4" s="200"/>
      <c r="I4" s="200"/>
      <c r="J4" s="200"/>
      <c r="K4" s="200"/>
      <c r="L4" s="201"/>
      <c r="M4" s="13"/>
    </row>
    <row r="5" spans="1:13" ht="15.75">
      <c r="A5" s="141" t="s">
        <v>194</v>
      </c>
      <c r="B5" s="219">
        <v>0</v>
      </c>
      <c r="C5" s="220" t="s">
        <v>195</v>
      </c>
      <c r="D5" s="220"/>
      <c r="E5" s="11"/>
      <c r="F5" s="202" t="s">
        <v>79</v>
      </c>
      <c r="G5" s="20">
        <v>4.7699999999999999E-2</v>
      </c>
      <c r="H5" s="200"/>
      <c r="I5" s="200"/>
      <c r="J5" s="200"/>
      <c r="K5" s="200"/>
      <c r="L5" s="203"/>
      <c r="M5" s="12"/>
    </row>
    <row r="6" spans="1:13" ht="15.75">
      <c r="A6" s="216" t="s">
        <v>196</v>
      </c>
      <c r="B6" s="221">
        <v>0</v>
      </c>
      <c r="C6" s="220" t="s">
        <v>195</v>
      </c>
      <c r="D6" s="220"/>
      <c r="E6" s="11"/>
      <c r="F6" s="202" t="s">
        <v>80</v>
      </c>
      <c r="G6" s="20">
        <v>4.7199999999999999E-2</v>
      </c>
      <c r="H6" s="200"/>
      <c r="I6" s="200"/>
      <c r="J6" s="200"/>
      <c r="K6" s="200"/>
      <c r="L6" s="203"/>
      <c r="M6" s="12"/>
    </row>
    <row r="7" spans="1:13" ht="15.75">
      <c r="A7" s="216" t="s">
        <v>197</v>
      </c>
      <c r="B7" s="222">
        <f>B5*(1-B6)</f>
        <v>0</v>
      </c>
      <c r="C7" s="223" t="s">
        <v>198</v>
      </c>
      <c r="D7" s="217" t="s">
        <v>199</v>
      </c>
      <c r="E7" s="11"/>
      <c r="F7" s="202" t="s">
        <v>81</v>
      </c>
      <c r="G7" s="20">
        <v>4.7199999999999999E-2</v>
      </c>
      <c r="H7" s="200"/>
      <c r="I7" s="200"/>
      <c r="J7" s="200"/>
      <c r="K7" s="200"/>
      <c r="L7" s="203"/>
      <c r="M7" s="12"/>
    </row>
    <row r="8" spans="1:13" ht="15.75">
      <c r="A8" s="141" t="s">
        <v>200</v>
      </c>
      <c r="B8" s="224">
        <v>0</v>
      </c>
      <c r="C8" s="220" t="s">
        <v>3</v>
      </c>
      <c r="D8" s="220" t="s">
        <v>201</v>
      </c>
      <c r="E8" s="11"/>
      <c r="F8" s="202" t="s">
        <v>82</v>
      </c>
      <c r="G8" s="20">
        <v>4.7300000000000002E-2</v>
      </c>
      <c r="H8" s="200"/>
      <c r="I8" s="200"/>
      <c r="J8" s="200"/>
      <c r="K8" s="200"/>
      <c r="L8" s="203"/>
      <c r="M8" s="12"/>
    </row>
    <row r="9" spans="1:13" ht="15.75">
      <c r="A9" s="218"/>
      <c r="B9" s="145"/>
      <c r="C9" s="145"/>
      <c r="D9" s="145"/>
      <c r="E9" s="11"/>
      <c r="F9" s="204" t="s">
        <v>83</v>
      </c>
      <c r="G9" s="205"/>
      <c r="H9" s="200"/>
      <c r="I9" s="200"/>
      <c r="J9" s="200"/>
      <c r="K9" s="200"/>
      <c r="L9" s="203"/>
      <c r="M9" s="12"/>
    </row>
    <row r="10" spans="1:13" ht="15.75">
      <c r="A10" s="216" t="s">
        <v>202</v>
      </c>
      <c r="B10" s="216"/>
      <c r="C10" s="217"/>
      <c r="D10" s="217"/>
      <c r="E10" s="11"/>
      <c r="F10" s="206"/>
      <c r="G10" s="200"/>
      <c r="H10" s="200"/>
      <c r="I10" s="200"/>
      <c r="J10" s="200"/>
      <c r="K10" s="200"/>
      <c r="L10" s="203"/>
      <c r="M10" s="12"/>
    </row>
    <row r="11" spans="1:13" ht="15.75">
      <c r="A11" s="141" t="s">
        <v>203</v>
      </c>
      <c r="B11" s="219">
        <v>0</v>
      </c>
      <c r="C11" s="220" t="s">
        <v>195</v>
      </c>
      <c r="D11" s="220"/>
      <c r="E11" s="11"/>
      <c r="F11" s="199" t="s">
        <v>84</v>
      </c>
      <c r="G11" s="200"/>
      <c r="H11" s="200"/>
      <c r="I11" s="200"/>
      <c r="J11" s="200"/>
      <c r="K11" s="200"/>
      <c r="L11" s="203"/>
      <c r="M11" s="12"/>
    </row>
    <row r="12" spans="1:13" ht="15.75">
      <c r="A12" s="216" t="s">
        <v>204</v>
      </c>
      <c r="B12" s="219">
        <v>0</v>
      </c>
      <c r="C12" s="220" t="s">
        <v>195</v>
      </c>
      <c r="D12" s="220" t="s">
        <v>205</v>
      </c>
      <c r="E12" s="11"/>
      <c r="F12" s="202" t="s">
        <v>85</v>
      </c>
      <c r="G12" s="20">
        <v>5.3066000000000002E-2</v>
      </c>
      <c r="H12" s="207"/>
      <c r="I12" s="200"/>
      <c r="J12" s="200"/>
      <c r="K12" s="200"/>
      <c r="L12" s="203"/>
      <c r="M12" s="12"/>
    </row>
    <row r="13" spans="1:13" ht="15.75">
      <c r="A13" s="216" t="s">
        <v>206</v>
      </c>
      <c r="B13" s="225">
        <v>0</v>
      </c>
      <c r="C13" s="220" t="s">
        <v>195</v>
      </c>
      <c r="D13" s="220"/>
      <c r="E13" s="11"/>
      <c r="F13" s="202" t="s">
        <v>86</v>
      </c>
      <c r="G13" s="20">
        <v>5.3780000000000001E-2</v>
      </c>
      <c r="H13" s="207"/>
      <c r="I13" s="200"/>
      <c r="J13" s="200"/>
      <c r="K13" s="200"/>
      <c r="L13" s="203"/>
      <c r="M13" s="12"/>
    </row>
    <row r="14" spans="1:13" ht="15.75">
      <c r="A14" s="216" t="s">
        <v>207</v>
      </c>
      <c r="B14" s="222">
        <f>B11+(B13*B12)</f>
        <v>0</v>
      </c>
      <c r="C14" s="223" t="s">
        <v>208</v>
      </c>
      <c r="D14" s="217" t="s">
        <v>209</v>
      </c>
      <c r="E14" s="11"/>
      <c r="F14" s="202"/>
      <c r="G14" s="20"/>
      <c r="H14" s="207"/>
      <c r="I14" s="200"/>
      <c r="J14" s="200"/>
      <c r="K14" s="200"/>
      <c r="L14" s="203"/>
      <c r="M14" s="12"/>
    </row>
    <row r="15" spans="1:13" ht="15.75">
      <c r="A15" s="141" t="s">
        <v>210</v>
      </c>
      <c r="B15" s="226">
        <f>1-B8</f>
        <v>1</v>
      </c>
      <c r="C15" s="227" t="s">
        <v>211</v>
      </c>
      <c r="D15" s="134" t="s">
        <v>140</v>
      </c>
      <c r="E15" s="11"/>
      <c r="F15" s="202" t="s">
        <v>87</v>
      </c>
      <c r="G15" s="20">
        <v>5.4113000000000001E-2</v>
      </c>
      <c r="H15" s="207"/>
      <c r="I15" s="200"/>
      <c r="J15" s="200"/>
      <c r="K15" s="200"/>
      <c r="L15" s="203"/>
      <c r="M15" s="12"/>
    </row>
    <row r="16" spans="1:13" ht="15.75">
      <c r="A16" s="228"/>
      <c r="B16" s="229"/>
      <c r="C16" s="6"/>
      <c r="D16" s="6"/>
      <c r="E16" s="11"/>
      <c r="F16" s="202" t="s">
        <v>136</v>
      </c>
      <c r="G16" s="20">
        <v>5.4543000000000001E-2</v>
      </c>
      <c r="H16" s="207"/>
      <c r="I16" s="200"/>
      <c r="J16" s="200"/>
      <c r="K16" s="200"/>
      <c r="L16" s="203"/>
      <c r="M16" s="12"/>
    </row>
    <row r="17" spans="1:13" ht="15.75">
      <c r="A17" s="216" t="s">
        <v>141</v>
      </c>
      <c r="B17" s="222">
        <f>(B7*B8)+(B14*B15)</f>
        <v>0</v>
      </c>
      <c r="C17" s="223" t="s">
        <v>142</v>
      </c>
      <c r="D17" s="217" t="s">
        <v>143</v>
      </c>
      <c r="E17" s="11"/>
      <c r="F17" s="202" t="s">
        <v>88</v>
      </c>
      <c r="G17" s="20">
        <v>5.5281000000000004E-2</v>
      </c>
      <c r="H17" s="200"/>
      <c r="I17" s="200"/>
      <c r="J17" s="200"/>
      <c r="K17" s="200"/>
      <c r="L17" s="203"/>
      <c r="M17" s="12"/>
    </row>
    <row r="18" spans="1:13" ht="18">
      <c r="A18" s="135"/>
      <c r="C18" s="134"/>
      <c r="D18" s="134"/>
      <c r="E18" s="11"/>
      <c r="F18" s="202"/>
      <c r="G18" s="20"/>
      <c r="H18" s="200"/>
      <c r="I18" s="200"/>
      <c r="J18" s="200"/>
      <c r="K18" s="200"/>
      <c r="L18" s="203"/>
      <c r="M18" s="12"/>
    </row>
    <row r="19" spans="1:13" ht="15.75">
      <c r="E19" s="11"/>
      <c r="F19" s="202" t="s">
        <v>89</v>
      </c>
      <c r="G19" s="20">
        <v>5.6219999999999999E-2</v>
      </c>
      <c r="H19" s="200"/>
      <c r="I19" s="200"/>
      <c r="J19" s="200"/>
      <c r="K19" s="200"/>
      <c r="L19" s="203"/>
      <c r="M19" s="12"/>
    </row>
    <row r="20" spans="1:13" ht="15.75">
      <c r="E20" s="11"/>
      <c r="F20" s="202" t="s">
        <v>90</v>
      </c>
      <c r="G20" s="20">
        <v>5.8754000000000001E-2</v>
      </c>
      <c r="H20" s="207"/>
      <c r="I20" s="200"/>
      <c r="J20" s="200"/>
      <c r="K20" s="200"/>
      <c r="L20" s="203"/>
      <c r="M20" s="12"/>
    </row>
    <row r="21" spans="1:13" ht="15.75">
      <c r="A21" s="10" t="s">
        <v>125</v>
      </c>
      <c r="B21" s="11"/>
      <c r="C21" s="11"/>
      <c r="D21" s="11"/>
      <c r="E21" s="11"/>
      <c r="F21" s="202" t="s">
        <v>91</v>
      </c>
      <c r="G21" s="20">
        <v>6.0662000000000001E-2</v>
      </c>
      <c r="H21" s="207"/>
      <c r="I21" s="200"/>
      <c r="J21" s="200"/>
      <c r="K21" s="200"/>
      <c r="L21" s="203"/>
      <c r="M21" s="12"/>
    </row>
    <row r="22" spans="1:13" ht="29.25">
      <c r="A22" s="14"/>
      <c r="B22" s="137" t="s">
        <v>126</v>
      </c>
      <c r="C22" s="137" t="s">
        <v>127</v>
      </c>
      <c r="D22" s="137" t="s">
        <v>128</v>
      </c>
      <c r="E22" s="11"/>
      <c r="F22" s="202"/>
      <c r="G22" s="20"/>
      <c r="H22" s="207"/>
      <c r="I22" s="200"/>
      <c r="J22" s="200"/>
      <c r="K22" s="200"/>
      <c r="L22" s="203"/>
      <c r="M22" s="12"/>
    </row>
    <row r="23" spans="1:13" ht="15.75">
      <c r="A23" s="138" t="s">
        <v>129</v>
      </c>
      <c r="B23" s="15">
        <v>24475</v>
      </c>
      <c r="C23" s="15">
        <v>3720</v>
      </c>
      <c r="D23" s="15">
        <v>3579.5</v>
      </c>
      <c r="E23" s="11"/>
      <c r="F23" s="202" t="s">
        <v>92</v>
      </c>
      <c r="G23" s="20">
        <v>6.3992999999999994E-2</v>
      </c>
      <c r="H23" s="207"/>
      <c r="I23" s="200"/>
      <c r="J23" s="200"/>
      <c r="K23" s="200"/>
      <c r="L23" s="203"/>
      <c r="M23" s="12"/>
    </row>
    <row r="24" spans="1:13" ht="15.75">
      <c r="A24" s="138" t="s">
        <v>130</v>
      </c>
      <c r="B24" s="15">
        <v>5222</v>
      </c>
      <c r="C24" s="15">
        <v>960.8</v>
      </c>
      <c r="D24" s="15">
        <v>997.2</v>
      </c>
      <c r="E24" s="11"/>
      <c r="F24" s="202" t="s">
        <v>138</v>
      </c>
      <c r="G24" s="20">
        <v>6.7918000000000006E-2</v>
      </c>
      <c r="H24" s="200"/>
      <c r="I24" s="200"/>
      <c r="J24" s="200"/>
      <c r="K24" s="200"/>
      <c r="L24" s="203"/>
      <c r="M24" s="12"/>
    </row>
    <row r="25" spans="1:13" ht="15.75">
      <c r="A25" s="138" t="s">
        <v>131</v>
      </c>
      <c r="B25" s="15">
        <v>9278</v>
      </c>
      <c r="C25" s="15">
        <v>1810.1</v>
      </c>
      <c r="D25" s="15">
        <v>1014.3</v>
      </c>
      <c r="E25" s="11"/>
      <c r="F25" s="202" t="s">
        <v>93</v>
      </c>
      <c r="G25" s="20">
        <v>6.9623999999999991E-2</v>
      </c>
      <c r="H25" s="200"/>
      <c r="I25" s="200"/>
      <c r="J25" s="200"/>
      <c r="K25" s="200"/>
      <c r="L25" s="203"/>
      <c r="M25" s="12"/>
    </row>
    <row r="26" spans="1:13" ht="15.75">
      <c r="A26" s="138" t="s">
        <v>132</v>
      </c>
      <c r="B26" s="16">
        <v>52.12</v>
      </c>
      <c r="C26" s="16">
        <v>39.729999999999997</v>
      </c>
      <c r="D26" s="16">
        <v>23.25</v>
      </c>
      <c r="E26" s="11"/>
      <c r="F26" s="202"/>
      <c r="G26" s="20"/>
      <c r="H26" s="200"/>
      <c r="I26" s="200"/>
      <c r="J26" s="200"/>
      <c r="K26" s="200"/>
      <c r="L26" s="203"/>
      <c r="M26" s="12"/>
    </row>
    <row r="27" spans="1:13" ht="15.75">
      <c r="A27" s="139" t="s">
        <v>133</v>
      </c>
      <c r="B27" s="17">
        <v>452.66660000000002</v>
      </c>
      <c r="C27" s="17">
        <v>88.526516000000001</v>
      </c>
      <c r="D27" s="17">
        <v>247.178</v>
      </c>
      <c r="E27" s="11"/>
      <c r="F27" s="202" t="s">
        <v>94</v>
      </c>
      <c r="G27" s="20">
        <v>7.3904999999999998E-2</v>
      </c>
      <c r="H27" s="200"/>
      <c r="I27" s="200"/>
      <c r="J27" s="200"/>
      <c r="K27" s="200"/>
      <c r="L27" s="203"/>
      <c r="M27" s="12"/>
    </row>
    <row r="28" spans="1:13" ht="15.75">
      <c r="A28" s="139" t="s">
        <v>134</v>
      </c>
      <c r="B28" s="15">
        <f t="shared" ref="B28:D28" si="0">B27*B26</f>
        <v>23592.983192</v>
      </c>
      <c r="C28" s="15">
        <f t="shared" si="0"/>
        <v>3517.1584806799997</v>
      </c>
      <c r="D28" s="15">
        <f t="shared" si="0"/>
        <v>5746.8885</v>
      </c>
      <c r="E28" s="11"/>
      <c r="F28" s="202" t="s">
        <v>137</v>
      </c>
      <c r="G28" s="20">
        <v>7.5678999999999996E-2</v>
      </c>
      <c r="H28" s="200"/>
      <c r="I28" s="200"/>
      <c r="J28" s="200"/>
      <c r="K28" s="200"/>
      <c r="L28" s="203"/>
      <c r="M28" s="12"/>
    </row>
    <row r="29" spans="1:13" ht="15.75">
      <c r="A29" s="139" t="s">
        <v>135</v>
      </c>
      <c r="B29" s="18" t="s">
        <v>136</v>
      </c>
      <c r="C29" s="18" t="s">
        <v>137</v>
      </c>
      <c r="D29" s="18" t="s">
        <v>138</v>
      </c>
      <c r="E29" s="11"/>
      <c r="F29" s="199" t="s">
        <v>95</v>
      </c>
      <c r="G29" s="208">
        <v>7.8365999999999991E-2</v>
      </c>
      <c r="H29" s="200"/>
      <c r="I29" s="200"/>
      <c r="J29" s="200"/>
      <c r="K29" s="200"/>
      <c r="L29" s="203"/>
      <c r="M29" s="12"/>
    </row>
    <row r="30" spans="1:13" ht="16.5" thickBot="1">
      <c r="A30" s="139" t="s">
        <v>139</v>
      </c>
      <c r="B30" s="19">
        <v>0.6</v>
      </c>
      <c r="C30" s="19">
        <v>0.6</v>
      </c>
      <c r="D30" s="19">
        <v>0.7</v>
      </c>
      <c r="E30" s="11"/>
      <c r="F30" s="209" t="s">
        <v>96</v>
      </c>
      <c r="G30" s="210"/>
      <c r="H30" s="210"/>
      <c r="I30" s="210"/>
      <c r="J30" s="210"/>
      <c r="K30" s="210"/>
      <c r="L30" s="211"/>
      <c r="M30" s="12"/>
    </row>
    <row r="31" spans="1:13" ht="15.75">
      <c r="A31" s="141"/>
      <c r="E31" s="11"/>
      <c r="G31" s="12"/>
      <c r="H31" s="12"/>
      <c r="I31" s="12"/>
      <c r="J31" s="12"/>
      <c r="K31" s="12"/>
      <c r="L31" s="12"/>
      <c r="M31" s="12"/>
    </row>
    <row r="32" spans="1:13" ht="15.75">
      <c r="A32" s="158" t="s">
        <v>144</v>
      </c>
      <c r="B32" s="176" t="s">
        <v>8</v>
      </c>
      <c r="C32" s="159"/>
      <c r="D32" s="159"/>
      <c r="E32" s="159"/>
      <c r="F32" s="159"/>
      <c r="G32" s="159"/>
    </row>
    <row r="33" spans="1:7" ht="15.75">
      <c r="A33" s="193"/>
      <c r="B33" s="176" t="s">
        <v>9</v>
      </c>
      <c r="C33" s="159"/>
      <c r="D33" s="159"/>
      <c r="E33" s="159"/>
      <c r="F33" s="159"/>
      <c r="G33" s="159"/>
    </row>
    <row r="34" spans="1:7" ht="15.75">
      <c r="A34" s="193"/>
      <c r="B34" s="176" t="s">
        <v>10</v>
      </c>
      <c r="C34" s="159"/>
      <c r="D34" s="159"/>
      <c r="E34" s="159"/>
      <c r="F34" s="159"/>
      <c r="G34" s="159"/>
    </row>
    <row r="35" spans="1:7" ht="15.75">
      <c r="A35" s="193"/>
      <c r="B35" s="176" t="s">
        <v>11</v>
      </c>
      <c r="C35" s="159"/>
      <c r="D35" s="159"/>
      <c r="E35" s="159"/>
      <c r="F35" s="159"/>
      <c r="G35" s="159"/>
    </row>
    <row r="36" spans="1:7" ht="16.5" thickBot="1">
      <c r="A36" s="193"/>
      <c r="B36" s="176" t="s">
        <v>12</v>
      </c>
      <c r="C36" s="159"/>
      <c r="D36" s="159"/>
      <c r="E36" s="159"/>
      <c r="F36" s="159"/>
      <c r="G36" s="159"/>
    </row>
    <row r="37" spans="1:7" ht="15.75">
      <c r="A37" s="193"/>
      <c r="B37" s="160"/>
      <c r="C37" s="161"/>
      <c r="D37" s="161"/>
      <c r="E37" s="161"/>
      <c r="F37" s="162"/>
      <c r="G37" s="159"/>
    </row>
    <row r="38" spans="1:7" ht="15.75">
      <c r="A38" s="193"/>
      <c r="B38" s="163"/>
      <c r="C38" s="164"/>
      <c r="D38" s="164"/>
      <c r="E38" s="164"/>
      <c r="F38" s="165"/>
      <c r="G38" s="159"/>
    </row>
    <row r="39" spans="1:7" ht="15.75">
      <c r="A39" s="141"/>
      <c r="B39" s="166"/>
      <c r="C39" s="164"/>
      <c r="D39" s="164"/>
      <c r="E39" s="164"/>
      <c r="F39" s="165"/>
      <c r="G39" s="159"/>
    </row>
    <row r="40" spans="1:7" ht="15.75">
      <c r="A40" s="141"/>
      <c r="B40" s="166"/>
      <c r="C40" s="164"/>
      <c r="D40" s="164"/>
      <c r="E40" s="164"/>
      <c r="F40" s="165"/>
      <c r="G40" s="159"/>
    </row>
    <row r="41" spans="1:7" ht="15.75">
      <c r="A41" s="141"/>
      <c r="B41" s="166"/>
      <c r="C41" s="164"/>
      <c r="D41" s="164"/>
      <c r="E41" s="164"/>
      <c r="F41" s="165"/>
      <c r="G41" s="159"/>
    </row>
    <row r="42" spans="1:7" ht="15.75">
      <c r="A42" s="141"/>
      <c r="B42" s="166"/>
      <c r="C42" s="164"/>
      <c r="D42" s="164"/>
      <c r="E42" s="164"/>
      <c r="F42" s="165"/>
      <c r="G42" s="159"/>
    </row>
    <row r="43" spans="1:7" ht="15.75">
      <c r="A43" s="141"/>
      <c r="B43" s="166"/>
      <c r="C43" s="164"/>
      <c r="D43" s="164"/>
      <c r="E43" s="164"/>
      <c r="F43" s="165"/>
      <c r="G43" s="159"/>
    </row>
    <row r="44" spans="1:7" ht="15.75">
      <c r="A44" s="141"/>
      <c r="B44" s="166"/>
      <c r="C44" s="164"/>
      <c r="D44" s="164"/>
      <c r="E44" s="164"/>
      <c r="F44" s="165"/>
      <c r="G44" s="159"/>
    </row>
    <row r="45" spans="1:7" ht="15.75">
      <c r="A45" s="141"/>
      <c r="B45" s="166"/>
      <c r="C45" s="164"/>
      <c r="D45" s="164"/>
      <c r="E45" s="164"/>
      <c r="F45" s="165"/>
      <c r="G45" s="159"/>
    </row>
    <row r="46" spans="1:7" ht="16.5" thickBot="1">
      <c r="A46" s="141"/>
      <c r="B46" s="167"/>
      <c r="C46" s="168"/>
      <c r="D46" s="168"/>
      <c r="E46" s="168"/>
      <c r="F46" s="169"/>
      <c r="G46" s="159"/>
    </row>
    <row r="47" spans="1:7" ht="15.75">
      <c r="A47" s="141"/>
      <c r="B47" s="159"/>
      <c r="C47" s="159"/>
      <c r="D47" s="159"/>
      <c r="E47" s="159"/>
      <c r="F47" s="159"/>
      <c r="G47" s="159"/>
    </row>
    <row r="48" spans="1:7" ht="15.75">
      <c r="A48" s="193" t="s">
        <v>187</v>
      </c>
      <c r="B48" s="176" t="s">
        <v>13</v>
      </c>
      <c r="C48" s="159"/>
      <c r="D48" s="159"/>
      <c r="E48" s="159"/>
      <c r="F48" s="159"/>
      <c r="G48" s="159"/>
    </row>
    <row r="49" spans="1:7" ht="15.75">
      <c r="A49" s="193"/>
      <c r="B49" s="176" t="s">
        <v>14</v>
      </c>
      <c r="C49" s="159"/>
      <c r="D49" s="159"/>
      <c r="E49" s="159"/>
      <c r="F49" s="159"/>
      <c r="G49" s="159"/>
    </row>
    <row r="50" spans="1:7" ht="15.95" customHeight="1" thickBot="1">
      <c r="A50" s="193"/>
      <c r="B50" s="176" t="s">
        <v>15</v>
      </c>
      <c r="C50" s="159"/>
      <c r="D50" s="159"/>
      <c r="E50" s="159"/>
      <c r="F50" s="159"/>
      <c r="G50" s="159"/>
    </row>
    <row r="51" spans="1:7" ht="15.95" customHeight="1">
      <c r="A51" s="193"/>
      <c r="B51" s="170"/>
      <c r="C51" s="161"/>
      <c r="D51" s="161"/>
      <c r="E51" s="161"/>
      <c r="F51" s="162"/>
      <c r="G51" s="159"/>
    </row>
    <row r="52" spans="1:7" ht="15.95" customHeight="1">
      <c r="A52" s="193"/>
      <c r="B52" s="166"/>
      <c r="C52" s="164"/>
      <c r="D52" s="164"/>
      <c r="E52" s="164"/>
      <c r="F52" s="165"/>
      <c r="G52" s="159"/>
    </row>
    <row r="53" spans="1:7" ht="15.95" customHeight="1">
      <c r="A53" s="193"/>
      <c r="B53" s="166"/>
      <c r="C53" s="164"/>
      <c r="D53" s="164"/>
      <c r="E53" s="164"/>
      <c r="F53" s="165"/>
      <c r="G53" s="159"/>
    </row>
    <row r="54" spans="1:7" ht="15.95" customHeight="1">
      <c r="A54" s="193"/>
      <c r="B54" s="166"/>
      <c r="C54" s="164"/>
      <c r="D54" s="164"/>
      <c r="E54" s="164"/>
      <c r="F54" s="165"/>
      <c r="G54" s="159"/>
    </row>
    <row r="55" spans="1:7" ht="15.95" customHeight="1">
      <c r="A55" s="193"/>
      <c r="B55" s="166"/>
      <c r="C55" s="164"/>
      <c r="D55" s="164"/>
      <c r="E55" s="164"/>
      <c r="F55" s="165"/>
      <c r="G55" s="159"/>
    </row>
    <row r="56" spans="1:7" ht="15.95" customHeight="1">
      <c r="A56" s="193"/>
      <c r="B56" s="166"/>
      <c r="C56" s="164"/>
      <c r="D56" s="164"/>
      <c r="E56" s="164"/>
      <c r="F56" s="165"/>
      <c r="G56" s="159"/>
    </row>
    <row r="57" spans="1:7" ht="15.95" customHeight="1">
      <c r="A57" s="193"/>
      <c r="B57" s="166"/>
      <c r="C57" s="164"/>
      <c r="D57" s="164"/>
      <c r="E57" s="164"/>
      <c r="F57" s="165"/>
      <c r="G57" s="159"/>
    </row>
    <row r="58" spans="1:7" ht="15.95" customHeight="1">
      <c r="A58" s="193"/>
      <c r="B58" s="166"/>
      <c r="C58" s="164"/>
      <c r="D58" s="164"/>
      <c r="E58" s="164"/>
      <c r="F58" s="165"/>
      <c r="G58" s="159"/>
    </row>
    <row r="59" spans="1:7" ht="15.95" customHeight="1" thickBot="1">
      <c r="A59" s="193"/>
      <c r="B59" s="167"/>
      <c r="C59" s="168"/>
      <c r="D59" s="168"/>
      <c r="E59" s="168"/>
      <c r="F59" s="169"/>
      <c r="G59" s="159"/>
    </row>
    <row r="60" spans="1:7" ht="15.75">
      <c r="A60" s="193"/>
      <c r="B60" s="159"/>
      <c r="C60" s="159"/>
      <c r="D60" s="159"/>
      <c r="E60" s="159"/>
      <c r="F60" s="159"/>
      <c r="G60" s="159"/>
    </row>
    <row r="61" spans="1:7" ht="15.75">
      <c r="A61" s="193" t="s">
        <v>217</v>
      </c>
      <c r="B61" s="176" t="s">
        <v>13</v>
      </c>
      <c r="C61" s="159"/>
      <c r="D61" s="159"/>
      <c r="E61" s="159"/>
      <c r="F61" s="159"/>
      <c r="G61" s="159"/>
    </row>
    <row r="62" spans="1:7" ht="15.75">
      <c r="A62" s="193"/>
      <c r="B62" s="176" t="s">
        <v>16</v>
      </c>
      <c r="C62" s="159"/>
      <c r="D62" s="159"/>
      <c r="E62" s="159"/>
      <c r="F62" s="159"/>
      <c r="G62" s="159"/>
    </row>
    <row r="63" spans="1:7" ht="15.75">
      <c r="A63" s="193"/>
      <c r="B63" s="176" t="s">
        <v>17</v>
      </c>
      <c r="C63" s="159"/>
      <c r="D63" s="159"/>
      <c r="E63" s="159"/>
      <c r="F63" s="159"/>
      <c r="G63" s="159"/>
    </row>
    <row r="64" spans="1:7" ht="16.5" thickBot="1">
      <c r="A64" s="193"/>
      <c r="B64" s="214" t="s">
        <v>18</v>
      </c>
      <c r="C64" s="159"/>
      <c r="D64" s="159"/>
      <c r="E64" s="159"/>
      <c r="F64" s="159"/>
      <c r="G64" s="159"/>
    </row>
    <row r="65" spans="1:7" ht="15.75">
      <c r="A65" s="193"/>
      <c r="B65" s="170"/>
      <c r="C65" s="161"/>
      <c r="D65" s="161"/>
      <c r="E65" s="161"/>
      <c r="F65" s="162"/>
      <c r="G65" s="159"/>
    </row>
    <row r="66" spans="1:7" ht="15.75">
      <c r="A66" s="193"/>
      <c r="B66" s="166"/>
      <c r="C66" s="164"/>
      <c r="D66" s="164"/>
      <c r="E66" s="164"/>
      <c r="F66" s="165"/>
      <c r="G66" s="159"/>
    </row>
    <row r="67" spans="1:7" ht="15.75">
      <c r="A67" s="193"/>
      <c r="B67" s="166"/>
      <c r="C67" s="164"/>
      <c r="D67" s="164"/>
      <c r="E67" s="164"/>
      <c r="F67" s="165"/>
      <c r="G67" s="159"/>
    </row>
    <row r="68" spans="1:7" ht="15.75">
      <c r="A68" s="193"/>
      <c r="B68" s="166"/>
      <c r="C68" s="164"/>
      <c r="D68" s="164"/>
      <c r="E68" s="164"/>
      <c r="F68" s="165"/>
      <c r="G68" s="159"/>
    </row>
    <row r="69" spans="1:7" ht="15.75">
      <c r="A69" s="193"/>
      <c r="B69" s="163"/>
      <c r="C69" s="171"/>
      <c r="D69" s="171"/>
      <c r="E69" s="171"/>
      <c r="F69" s="172"/>
    </row>
    <row r="70" spans="1:7" ht="15.75">
      <c r="A70" s="193"/>
      <c r="B70" s="163"/>
      <c r="C70" s="171"/>
      <c r="D70" s="171"/>
      <c r="E70" s="171"/>
      <c r="F70" s="172"/>
    </row>
    <row r="71" spans="1:7" ht="15.75">
      <c r="A71" s="193"/>
      <c r="B71" s="163"/>
      <c r="C71" s="171"/>
      <c r="D71" s="171"/>
      <c r="E71" s="171"/>
      <c r="F71" s="172"/>
    </row>
    <row r="72" spans="1:7" ht="15.75">
      <c r="A72" s="193"/>
      <c r="B72" s="163"/>
      <c r="C72" s="171"/>
      <c r="D72" s="171"/>
      <c r="E72" s="171"/>
      <c r="F72" s="172"/>
    </row>
    <row r="73" spans="1:7" ht="15.75">
      <c r="A73" s="193"/>
      <c r="B73" s="163"/>
      <c r="C73" s="171"/>
      <c r="D73" s="171"/>
      <c r="E73" s="171"/>
      <c r="F73" s="172"/>
    </row>
    <row r="74" spans="1:7" ht="16.5" thickBot="1">
      <c r="A74" s="193"/>
      <c r="B74" s="173"/>
      <c r="C74" s="174"/>
      <c r="D74" s="174"/>
      <c r="E74" s="174"/>
      <c r="F74" s="175"/>
    </row>
    <row r="75" spans="1:7" ht="15.75">
      <c r="A75" s="193"/>
    </row>
    <row r="76" spans="1:7" ht="16.5" thickBot="1">
      <c r="A76" s="193" t="s">
        <v>218</v>
      </c>
      <c r="B76" s="176" t="s">
        <v>0</v>
      </c>
    </row>
    <row r="77" spans="1:7">
      <c r="A77" s="140"/>
      <c r="B77" s="160"/>
      <c r="C77" s="194"/>
      <c r="D77" s="194"/>
      <c r="E77" s="194"/>
      <c r="F77" s="195"/>
    </row>
    <row r="78" spans="1:7">
      <c r="A78" s="140"/>
      <c r="B78" s="163"/>
      <c r="C78" s="171"/>
      <c r="D78" s="171"/>
      <c r="E78" s="171"/>
      <c r="F78" s="172"/>
    </row>
    <row r="79" spans="1:7">
      <c r="A79" s="140"/>
      <c r="B79" s="163"/>
      <c r="C79" s="171"/>
      <c r="D79" s="171"/>
      <c r="E79" s="171"/>
      <c r="F79" s="172"/>
    </row>
    <row r="80" spans="1:7">
      <c r="A80" s="140"/>
      <c r="B80" s="163"/>
      <c r="C80" s="171"/>
      <c r="D80" s="171"/>
      <c r="E80" s="171"/>
      <c r="F80" s="172"/>
    </row>
    <row r="81" spans="1:6">
      <c r="A81" s="140"/>
      <c r="B81" s="163"/>
      <c r="C81" s="171"/>
      <c r="D81" s="171"/>
      <c r="E81" s="171"/>
      <c r="F81" s="172"/>
    </row>
    <row r="82" spans="1:6">
      <c r="B82" s="163"/>
      <c r="C82" s="171"/>
      <c r="D82" s="171"/>
      <c r="E82" s="171"/>
      <c r="F82" s="172"/>
    </row>
    <row r="83" spans="1:6">
      <c r="B83" s="163"/>
      <c r="C83" s="171"/>
      <c r="D83" s="171"/>
      <c r="E83" s="171"/>
      <c r="F83" s="172"/>
    </row>
    <row r="84" spans="1:6">
      <c r="B84" s="163"/>
      <c r="C84" s="171"/>
      <c r="D84" s="171"/>
      <c r="E84" s="171"/>
      <c r="F84" s="172"/>
    </row>
    <row r="85" spans="1:6">
      <c r="B85" s="163"/>
      <c r="C85" s="171"/>
      <c r="D85" s="171"/>
      <c r="E85" s="171"/>
      <c r="F85" s="172"/>
    </row>
    <row r="86" spans="1:6" ht="15.75" thickBot="1">
      <c r="B86" s="173"/>
      <c r="C86" s="174"/>
      <c r="D86" s="174"/>
      <c r="E86" s="174"/>
      <c r="F86" s="175"/>
    </row>
  </sheetData>
  <phoneticPr fontId="8" type="noConversion"/>
  <printOptions headings="1" gridLines="1"/>
  <pageMargins left="0.75" right="0.75" top="1" bottom="1" header="0.5" footer="0.5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O120"/>
  <sheetViews>
    <sheetView topLeftCell="A88" zoomScale="125" workbookViewId="0">
      <selection sqref="A1:XFD1"/>
    </sheetView>
  </sheetViews>
  <sheetFormatPr defaultColWidth="11.5546875" defaultRowHeight="15"/>
  <cols>
    <col min="1" max="1" width="4.44140625" customWidth="1"/>
    <col min="2" max="2" width="32.33203125" customWidth="1"/>
    <col min="4" max="4" width="6.88671875" customWidth="1"/>
    <col min="5" max="5" width="8" customWidth="1"/>
  </cols>
  <sheetData>
    <row r="1" spans="1:15" ht="15.75">
      <c r="A1" s="93"/>
      <c r="B1" s="22"/>
      <c r="C1" s="22"/>
      <c r="D1" s="22"/>
      <c r="E1" s="126"/>
      <c r="F1" s="22"/>
      <c r="G1" s="22"/>
      <c r="H1" s="22"/>
      <c r="I1" s="22"/>
      <c r="J1" s="22"/>
      <c r="K1" s="22"/>
      <c r="L1" s="21"/>
      <c r="M1" s="21"/>
      <c r="N1" s="21"/>
      <c r="O1" s="21"/>
    </row>
    <row r="2" spans="1:15" ht="15.75">
      <c r="A2" s="93" t="s">
        <v>37</v>
      </c>
      <c r="B2" s="94"/>
      <c r="C2" s="127" t="s">
        <v>36</v>
      </c>
      <c r="D2" s="94"/>
      <c r="E2" s="94"/>
      <c r="F2" s="22"/>
      <c r="G2" s="22"/>
      <c r="H2" s="22"/>
      <c r="I2" s="22"/>
      <c r="J2" s="22"/>
      <c r="K2" s="22"/>
      <c r="L2" s="21"/>
      <c r="M2" s="21"/>
      <c r="N2" s="21"/>
      <c r="O2" s="21"/>
    </row>
    <row r="3" spans="1:15" ht="16.5" thickBot="1">
      <c r="A3" s="93"/>
      <c r="B3" s="94"/>
      <c r="C3" s="94"/>
      <c r="D3" s="94"/>
      <c r="E3" s="94"/>
      <c r="F3" s="22"/>
      <c r="G3" s="22"/>
      <c r="H3" s="22"/>
      <c r="I3" s="22"/>
      <c r="J3" s="22"/>
      <c r="K3" s="22"/>
      <c r="L3" s="21"/>
      <c r="M3" s="21"/>
      <c r="N3" s="21"/>
      <c r="O3" s="21"/>
    </row>
    <row r="4" spans="1:15" ht="15.75">
      <c r="A4" s="21"/>
      <c r="B4" s="98" t="s">
        <v>35</v>
      </c>
      <c r="C4" s="100"/>
      <c r="D4" s="82"/>
      <c r="E4" s="103" t="s">
        <v>45</v>
      </c>
      <c r="F4" s="104"/>
      <c r="G4" s="103" t="s">
        <v>42</v>
      </c>
      <c r="H4" s="104"/>
      <c r="I4" s="22"/>
      <c r="J4" s="22"/>
      <c r="K4" s="22"/>
      <c r="L4" s="21"/>
      <c r="M4" s="21"/>
      <c r="N4" s="21"/>
      <c r="O4" s="21"/>
    </row>
    <row r="5" spans="1:15" ht="15.75">
      <c r="A5" s="21"/>
      <c r="B5" s="96" t="s">
        <v>58</v>
      </c>
      <c r="C5" s="101">
        <v>50</v>
      </c>
      <c r="D5" s="29" t="s">
        <v>39</v>
      </c>
      <c r="E5" s="122" t="s">
        <v>41</v>
      </c>
      <c r="F5" s="106">
        <f>C73</f>
        <v>5687.3549210569163</v>
      </c>
      <c r="G5" s="105" t="s">
        <v>41</v>
      </c>
      <c r="H5" s="106">
        <f>C80</f>
        <v>10424.864582329094</v>
      </c>
      <c r="I5" s="94" t="s">
        <v>44</v>
      </c>
      <c r="J5" s="22"/>
      <c r="K5" s="22"/>
      <c r="L5" s="21"/>
      <c r="M5" s="21"/>
      <c r="N5" s="21"/>
      <c r="O5" s="21"/>
    </row>
    <row r="6" spans="1:15" ht="16.5" thickBot="1">
      <c r="A6" s="21"/>
      <c r="B6" s="96" t="s">
        <v>59</v>
      </c>
      <c r="C6" s="102">
        <v>0.26</v>
      </c>
      <c r="D6" s="29" t="s">
        <v>39</v>
      </c>
      <c r="E6" s="107" t="s">
        <v>40</v>
      </c>
      <c r="F6" s="111">
        <f>C74</f>
        <v>0.17638092514880221</v>
      </c>
      <c r="G6" s="107" t="s">
        <v>40</v>
      </c>
      <c r="H6" s="111">
        <f>C81</f>
        <v>0.21182909144833961</v>
      </c>
      <c r="I6" s="22"/>
      <c r="J6" s="22"/>
      <c r="K6" s="22"/>
      <c r="L6" s="21"/>
      <c r="M6" s="21"/>
      <c r="N6" s="21"/>
      <c r="O6" s="21"/>
    </row>
    <row r="7" spans="1:15" ht="15.75">
      <c r="A7" s="21"/>
      <c r="B7" s="96" t="s">
        <v>60</v>
      </c>
      <c r="C7" s="102">
        <v>0.6</v>
      </c>
      <c r="D7" s="29" t="s">
        <v>39</v>
      </c>
      <c r="E7" s="22"/>
      <c r="F7" s="22"/>
      <c r="G7" s="22"/>
      <c r="H7" s="22"/>
      <c r="I7" s="22"/>
      <c r="J7" s="22"/>
      <c r="K7" s="22"/>
      <c r="L7" s="21"/>
      <c r="M7" s="21"/>
      <c r="N7" s="21"/>
      <c r="O7" s="21"/>
    </row>
    <row r="8" spans="1:15" ht="15.75">
      <c r="A8" s="91"/>
      <c r="B8" s="97" t="s">
        <v>34</v>
      </c>
      <c r="C8" s="102">
        <v>0.04</v>
      </c>
      <c r="D8" s="92" t="s">
        <v>39</v>
      </c>
      <c r="E8" s="22"/>
      <c r="F8" s="22"/>
      <c r="G8" s="22"/>
      <c r="H8" s="22"/>
      <c r="I8" s="22"/>
      <c r="J8" s="22"/>
      <c r="K8" s="22"/>
      <c r="L8" s="21"/>
      <c r="M8" s="21"/>
      <c r="N8" s="21"/>
      <c r="O8" s="21"/>
    </row>
    <row r="9" spans="1:15" ht="16.5" thickBot="1">
      <c r="A9" s="91"/>
      <c r="B9" s="97" t="s">
        <v>33</v>
      </c>
      <c r="C9" s="133">
        <v>7.0000000000000007E-2</v>
      </c>
      <c r="D9" s="99" t="s">
        <v>39</v>
      </c>
      <c r="E9" s="22"/>
      <c r="F9" s="22"/>
      <c r="G9" s="22"/>
      <c r="H9" s="22"/>
      <c r="I9" s="22"/>
      <c r="J9" s="22"/>
      <c r="K9" s="22"/>
      <c r="L9" s="21"/>
      <c r="M9" s="21"/>
      <c r="N9" s="21"/>
      <c r="O9" s="21"/>
    </row>
    <row r="10" spans="1:15" ht="16.5" thickBot="1">
      <c r="A10" s="112"/>
      <c r="B10" s="113" t="s">
        <v>43</v>
      </c>
      <c r="C10" s="213">
        <v>0.1</v>
      </c>
      <c r="D10" s="114"/>
      <c r="E10" s="115"/>
      <c r="F10" s="115"/>
      <c r="G10" s="125"/>
      <c r="H10" s="125"/>
      <c r="I10" s="125"/>
      <c r="J10" s="125"/>
      <c r="K10" s="125"/>
      <c r="L10" s="117"/>
      <c r="M10" s="117"/>
      <c r="N10" s="117"/>
      <c r="O10" s="116"/>
    </row>
    <row r="11" spans="1:15" ht="15.75">
      <c r="A11" s="91"/>
      <c r="B11" s="22"/>
      <c r="C11" s="90"/>
      <c r="D11" s="90"/>
      <c r="E11" s="22"/>
      <c r="F11" s="22"/>
      <c r="G11" s="22"/>
      <c r="H11" s="22"/>
      <c r="I11" s="22"/>
      <c r="J11" s="22"/>
      <c r="K11" s="22"/>
      <c r="L11" s="21"/>
      <c r="M11" s="21"/>
      <c r="N11" s="21"/>
      <c r="O11" s="21"/>
    </row>
    <row r="12" spans="1:15" ht="15.75">
      <c r="A12" s="21"/>
      <c r="B12" s="22"/>
      <c r="C12" s="22"/>
      <c r="D12" s="22"/>
      <c r="E12" s="128" t="s">
        <v>48</v>
      </c>
      <c r="F12" s="28">
        <v>1</v>
      </c>
      <c r="G12" s="28">
        <v>2</v>
      </c>
      <c r="H12" s="28">
        <v>3</v>
      </c>
      <c r="I12" s="28">
        <v>4</v>
      </c>
      <c r="J12" s="28">
        <v>5</v>
      </c>
      <c r="K12" s="28">
        <v>6</v>
      </c>
      <c r="L12" s="119">
        <v>7</v>
      </c>
      <c r="M12" s="119">
        <v>8</v>
      </c>
      <c r="N12" s="119">
        <v>9</v>
      </c>
      <c r="O12" s="119">
        <v>10</v>
      </c>
    </row>
    <row r="13" spans="1:15" ht="15.75">
      <c r="A13" s="55" t="s">
        <v>153</v>
      </c>
      <c r="B13" s="82"/>
      <c r="C13" s="22"/>
      <c r="D13" s="22"/>
      <c r="E13" s="22"/>
      <c r="F13" s="89"/>
      <c r="G13" s="89"/>
      <c r="H13" s="89"/>
      <c r="I13" s="89"/>
      <c r="J13" s="89"/>
      <c r="K13" s="22"/>
      <c r="L13" s="22"/>
      <c r="M13" s="22"/>
      <c r="N13" s="22"/>
      <c r="O13" s="22"/>
    </row>
    <row r="14" spans="1:15" ht="15.75">
      <c r="A14" s="21"/>
      <c r="B14" s="22" t="s">
        <v>154</v>
      </c>
      <c r="C14" s="22"/>
      <c r="D14" s="22"/>
      <c r="E14" s="22"/>
      <c r="F14" s="88">
        <f t="shared" ref="F14:O14" si="0">$C$5*365</f>
        <v>18250</v>
      </c>
      <c r="G14" s="88">
        <f t="shared" si="0"/>
        <v>18250</v>
      </c>
      <c r="H14" s="88">
        <f t="shared" si="0"/>
        <v>18250</v>
      </c>
      <c r="I14" s="88">
        <f t="shared" si="0"/>
        <v>18250</v>
      </c>
      <c r="J14" s="88">
        <f t="shared" si="0"/>
        <v>18250</v>
      </c>
      <c r="K14" s="88">
        <f t="shared" si="0"/>
        <v>18250</v>
      </c>
      <c r="L14" s="88">
        <f t="shared" si="0"/>
        <v>18250</v>
      </c>
      <c r="M14" s="88">
        <f t="shared" si="0"/>
        <v>18250</v>
      </c>
      <c r="N14" s="88">
        <f t="shared" si="0"/>
        <v>18250</v>
      </c>
      <c r="O14" s="88">
        <f t="shared" si="0"/>
        <v>18250</v>
      </c>
    </row>
    <row r="15" spans="1:15" ht="15.75">
      <c r="A15" s="21"/>
      <c r="B15" s="22" t="s">
        <v>155</v>
      </c>
      <c r="C15" s="22"/>
      <c r="D15" s="22"/>
      <c r="E15" s="22"/>
      <c r="F15" s="84">
        <f>C6</f>
        <v>0.26</v>
      </c>
      <c r="G15" s="84">
        <f>C7</f>
        <v>0.6</v>
      </c>
      <c r="H15" s="84">
        <f>G15*(1+$C$8)</f>
        <v>0.624</v>
      </c>
      <c r="I15" s="84">
        <f>H15*(1+$C$8)</f>
        <v>0.64895999999999998</v>
      </c>
      <c r="J15" s="84">
        <f t="shared" ref="J15:O15" si="1">I15*(1+$C$8)</f>
        <v>0.67491840000000003</v>
      </c>
      <c r="K15" s="84">
        <f t="shared" si="1"/>
        <v>0.70191513600000011</v>
      </c>
      <c r="L15" s="84">
        <f t="shared" si="1"/>
        <v>0.72999174144000012</v>
      </c>
      <c r="M15" s="84">
        <f t="shared" si="1"/>
        <v>0.75919141109760013</v>
      </c>
      <c r="N15" s="84">
        <f t="shared" si="1"/>
        <v>0.78955906754150418</v>
      </c>
      <c r="O15" s="84">
        <f t="shared" si="1"/>
        <v>0.82114143024316433</v>
      </c>
    </row>
    <row r="16" spans="1:15" ht="15.75">
      <c r="A16" s="21"/>
      <c r="B16" s="22" t="s">
        <v>156</v>
      </c>
      <c r="C16" s="22"/>
      <c r="D16" s="22"/>
      <c r="E16" s="22"/>
      <c r="F16" s="87">
        <f t="shared" ref="F16:O16" si="2">F14*F15</f>
        <v>4745</v>
      </c>
      <c r="G16" s="87">
        <f t="shared" si="2"/>
        <v>10950</v>
      </c>
      <c r="H16" s="87">
        <f t="shared" si="2"/>
        <v>11388</v>
      </c>
      <c r="I16" s="87">
        <f t="shared" si="2"/>
        <v>11843.52</v>
      </c>
      <c r="J16" s="87">
        <f t="shared" si="2"/>
        <v>12317.2608</v>
      </c>
      <c r="K16" s="87">
        <f t="shared" si="2"/>
        <v>12809.951232000001</v>
      </c>
      <c r="L16" s="87">
        <f t="shared" si="2"/>
        <v>13322.349281280001</v>
      </c>
      <c r="M16" s="87">
        <f t="shared" si="2"/>
        <v>13855.243252531203</v>
      </c>
      <c r="N16" s="87">
        <f t="shared" si="2"/>
        <v>14409.452982632451</v>
      </c>
      <c r="O16" s="87">
        <f t="shared" si="2"/>
        <v>14985.831101937749</v>
      </c>
    </row>
    <row r="17" spans="1:15" ht="15.75">
      <c r="A17" s="21"/>
      <c r="B17" s="22" t="s">
        <v>157</v>
      </c>
      <c r="C17" s="22"/>
      <c r="D17" s="22"/>
      <c r="E17" s="22"/>
      <c r="F17" s="87">
        <f t="shared" ref="F17:O17" si="3">F16/365</f>
        <v>13</v>
      </c>
      <c r="G17" s="87">
        <f t="shared" si="3"/>
        <v>30</v>
      </c>
      <c r="H17" s="87">
        <f t="shared" si="3"/>
        <v>31.2</v>
      </c>
      <c r="I17" s="87">
        <f t="shared" si="3"/>
        <v>32.448</v>
      </c>
      <c r="J17" s="87">
        <f t="shared" si="3"/>
        <v>33.745919999999998</v>
      </c>
      <c r="K17" s="87">
        <f t="shared" si="3"/>
        <v>35.095756800000004</v>
      </c>
      <c r="L17" s="87">
        <f t="shared" si="3"/>
        <v>36.499587072000004</v>
      </c>
      <c r="M17" s="87">
        <f t="shared" si="3"/>
        <v>37.95957055488001</v>
      </c>
      <c r="N17" s="87">
        <f t="shared" si="3"/>
        <v>39.47795337707521</v>
      </c>
      <c r="O17" s="87">
        <f t="shared" si="3"/>
        <v>41.057071512158217</v>
      </c>
    </row>
    <row r="18" spans="1:15" ht="15.75">
      <c r="A18" s="21"/>
      <c r="B18" s="22" t="s">
        <v>158</v>
      </c>
      <c r="C18" s="22"/>
      <c r="D18" s="22"/>
      <c r="E18" s="22"/>
      <c r="F18" s="87">
        <v>30</v>
      </c>
      <c r="G18" s="87">
        <v>27</v>
      </c>
      <c r="H18" s="87">
        <v>27</v>
      </c>
      <c r="I18" s="87">
        <v>27</v>
      </c>
      <c r="J18" s="87">
        <v>27</v>
      </c>
      <c r="K18" s="87">
        <v>27</v>
      </c>
      <c r="L18" s="87">
        <v>27</v>
      </c>
      <c r="M18" s="87">
        <v>27</v>
      </c>
      <c r="N18" s="87">
        <v>27</v>
      </c>
      <c r="O18" s="87">
        <v>27</v>
      </c>
    </row>
    <row r="19" spans="1:15" ht="15.75">
      <c r="A19" s="21"/>
      <c r="B19" s="22" t="s">
        <v>159</v>
      </c>
      <c r="C19" s="22"/>
      <c r="D19" s="22"/>
      <c r="E19" s="22"/>
      <c r="F19" s="87">
        <f>F16/F18</f>
        <v>158.16666666666666</v>
      </c>
      <c r="G19" s="87">
        <f>G16/G18</f>
        <v>405.55555555555554</v>
      </c>
      <c r="H19" s="87">
        <f>H16/H18</f>
        <v>421.77777777777777</v>
      </c>
      <c r="I19" s="87">
        <f t="shared" ref="I19:O19" si="4">I16/I18</f>
        <v>438.64888888888891</v>
      </c>
      <c r="J19" s="87">
        <f t="shared" si="4"/>
        <v>456.19484444444447</v>
      </c>
      <c r="K19" s="87">
        <f t="shared" si="4"/>
        <v>474.44263822222229</v>
      </c>
      <c r="L19" s="87">
        <f t="shared" si="4"/>
        <v>493.42034375111115</v>
      </c>
      <c r="M19" s="87">
        <f t="shared" si="4"/>
        <v>513.15715750115567</v>
      </c>
      <c r="N19" s="87">
        <f t="shared" si="4"/>
        <v>533.68344380120186</v>
      </c>
      <c r="O19" s="87">
        <f t="shared" si="4"/>
        <v>555.03078155324999</v>
      </c>
    </row>
    <row r="20" spans="1:15" ht="15.75">
      <c r="A20" s="21"/>
      <c r="B20" s="22" t="s">
        <v>160</v>
      </c>
      <c r="C20" s="22"/>
      <c r="D20" s="22"/>
      <c r="E20" s="22"/>
      <c r="F20" s="86">
        <v>4.8</v>
      </c>
      <c r="G20" s="86">
        <v>3.5</v>
      </c>
      <c r="H20" s="86">
        <v>3.5</v>
      </c>
      <c r="I20" s="86">
        <v>3.5</v>
      </c>
      <c r="J20" s="86">
        <v>3.5</v>
      </c>
      <c r="K20" s="86">
        <v>3.5</v>
      </c>
      <c r="L20" s="86">
        <v>3.5</v>
      </c>
      <c r="M20" s="86">
        <v>3.5</v>
      </c>
      <c r="N20" s="86">
        <v>3.5</v>
      </c>
      <c r="O20" s="86">
        <v>3.5</v>
      </c>
    </row>
    <row r="21" spans="1:15" ht="15.75">
      <c r="A21" s="21"/>
      <c r="B21" s="22" t="s">
        <v>161</v>
      </c>
      <c r="C21" s="129"/>
      <c r="D21" s="129"/>
      <c r="E21" s="22"/>
      <c r="F21" s="81">
        <f t="shared" ref="F21:O21" si="5">F17*F20</f>
        <v>62.4</v>
      </c>
      <c r="G21" s="81">
        <f t="shared" si="5"/>
        <v>105</v>
      </c>
      <c r="H21" s="81">
        <f t="shared" si="5"/>
        <v>109.2</v>
      </c>
      <c r="I21" s="81">
        <f t="shared" si="5"/>
        <v>113.568</v>
      </c>
      <c r="J21" s="81">
        <f t="shared" si="5"/>
        <v>118.11071999999999</v>
      </c>
      <c r="K21" s="81">
        <f t="shared" si="5"/>
        <v>122.83514880000001</v>
      </c>
      <c r="L21" s="81">
        <f t="shared" si="5"/>
        <v>127.74855475200002</v>
      </c>
      <c r="M21" s="81">
        <f t="shared" si="5"/>
        <v>132.85849694208002</v>
      </c>
      <c r="N21" s="81">
        <f t="shared" si="5"/>
        <v>138.17283681976323</v>
      </c>
      <c r="O21" s="81">
        <f t="shared" si="5"/>
        <v>143.69975029255374</v>
      </c>
    </row>
    <row r="22" spans="1:15" ht="15.75">
      <c r="A22" s="56"/>
      <c r="B22" s="57"/>
      <c r="C22" s="85"/>
      <c r="D22" s="85"/>
      <c r="E22" s="57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5" ht="15.75">
      <c r="A23" s="55" t="s">
        <v>32</v>
      </c>
      <c r="B23" s="82"/>
      <c r="C23" s="28" t="s">
        <v>31</v>
      </c>
      <c r="D23" s="28"/>
      <c r="E23" s="22"/>
      <c r="F23" s="81"/>
      <c r="G23" s="81"/>
      <c r="H23" s="81"/>
      <c r="I23" s="81"/>
      <c r="J23" s="81"/>
      <c r="K23" s="22"/>
      <c r="L23" s="22"/>
      <c r="M23" s="22"/>
      <c r="N23" s="22"/>
      <c r="O23" s="22"/>
    </row>
    <row r="24" spans="1:15" ht="15.75">
      <c r="A24" s="79"/>
      <c r="B24" s="80" t="s">
        <v>162</v>
      </c>
      <c r="C24" s="84">
        <v>0.36</v>
      </c>
      <c r="D24" s="83"/>
      <c r="E24" s="80"/>
      <c r="F24" s="76">
        <f t="shared" ref="F24:O28" si="6">F$19*$C24</f>
        <v>56.94</v>
      </c>
      <c r="G24" s="76">
        <f t="shared" si="6"/>
        <v>146</v>
      </c>
      <c r="H24" s="76">
        <f t="shared" si="6"/>
        <v>151.84</v>
      </c>
      <c r="I24" s="76">
        <f t="shared" si="6"/>
        <v>157.9136</v>
      </c>
      <c r="J24" s="76">
        <f t="shared" si="6"/>
        <v>164.230144</v>
      </c>
      <c r="K24" s="76">
        <f t="shared" si="6"/>
        <v>170.79934976000001</v>
      </c>
      <c r="L24" s="76">
        <f t="shared" si="6"/>
        <v>177.63132375040001</v>
      </c>
      <c r="M24" s="76">
        <f t="shared" si="6"/>
        <v>184.73657670041604</v>
      </c>
      <c r="N24" s="76">
        <f t="shared" si="6"/>
        <v>192.12603976843266</v>
      </c>
      <c r="O24" s="76">
        <f t="shared" si="6"/>
        <v>199.81108135917</v>
      </c>
    </row>
    <row r="25" spans="1:15" ht="15.75">
      <c r="A25" s="56"/>
      <c r="B25" s="57" t="s">
        <v>163</v>
      </c>
      <c r="C25" s="84">
        <v>0.28999999999999998</v>
      </c>
      <c r="D25" s="83"/>
      <c r="E25" s="57"/>
      <c r="F25" s="76">
        <f t="shared" si="6"/>
        <v>45.868333333333325</v>
      </c>
      <c r="G25" s="76">
        <f t="shared" si="6"/>
        <v>117.6111111111111</v>
      </c>
      <c r="H25" s="76">
        <f t="shared" si="6"/>
        <v>122.31555555555555</v>
      </c>
      <c r="I25" s="76">
        <f t="shared" si="6"/>
        <v>127.20817777777778</v>
      </c>
      <c r="J25" s="76">
        <f t="shared" si="6"/>
        <v>132.29650488888888</v>
      </c>
      <c r="K25" s="76">
        <f t="shared" si="6"/>
        <v>137.58836508444446</v>
      </c>
      <c r="L25" s="76">
        <f t="shared" si="6"/>
        <v>143.09189968782223</v>
      </c>
      <c r="M25" s="76">
        <f t="shared" si="6"/>
        <v>148.81557567533514</v>
      </c>
      <c r="N25" s="76">
        <f t="shared" si="6"/>
        <v>154.76819870234854</v>
      </c>
      <c r="O25" s="76">
        <f t="shared" si="6"/>
        <v>160.95892665044249</v>
      </c>
    </row>
    <row r="26" spans="1:15" ht="15.75">
      <c r="A26" s="21"/>
      <c r="B26" s="57" t="s">
        <v>164</v>
      </c>
      <c r="C26" s="84">
        <v>0.24</v>
      </c>
      <c r="D26" s="83"/>
      <c r="E26" s="22"/>
      <c r="F26" s="76">
        <f t="shared" si="6"/>
        <v>37.959999999999994</v>
      </c>
      <c r="G26" s="76">
        <f t="shared" si="6"/>
        <v>97.333333333333329</v>
      </c>
      <c r="H26" s="76">
        <f t="shared" si="6"/>
        <v>101.22666666666666</v>
      </c>
      <c r="I26" s="76">
        <f t="shared" si="6"/>
        <v>105.27573333333333</v>
      </c>
      <c r="J26" s="76">
        <f t="shared" si="6"/>
        <v>109.48676266666666</v>
      </c>
      <c r="K26" s="76">
        <f t="shared" si="6"/>
        <v>113.86623317333334</v>
      </c>
      <c r="L26" s="76">
        <f t="shared" si="6"/>
        <v>118.42088250026667</v>
      </c>
      <c r="M26" s="76">
        <f t="shared" si="6"/>
        <v>123.15771780027735</v>
      </c>
      <c r="N26" s="76">
        <f t="shared" si="6"/>
        <v>128.08402651228843</v>
      </c>
      <c r="O26" s="76">
        <f t="shared" si="6"/>
        <v>133.20738757277999</v>
      </c>
    </row>
    <row r="27" spans="1:15" ht="15.75">
      <c r="A27" s="56"/>
      <c r="B27" s="57" t="s">
        <v>165</v>
      </c>
      <c r="C27" s="84">
        <f>1-C24-C25-C26-C28</f>
        <v>9.0000000000000038E-2</v>
      </c>
      <c r="D27" s="83"/>
      <c r="E27" s="57"/>
      <c r="F27" s="76">
        <f t="shared" si="6"/>
        <v>14.235000000000005</v>
      </c>
      <c r="G27" s="76">
        <f t="shared" si="6"/>
        <v>36.500000000000014</v>
      </c>
      <c r="H27" s="76">
        <f t="shared" si="6"/>
        <v>37.960000000000015</v>
      </c>
      <c r="I27" s="76">
        <f t="shared" si="6"/>
        <v>39.478400000000015</v>
      </c>
      <c r="J27" s="76">
        <f t="shared" si="6"/>
        <v>41.05753600000002</v>
      </c>
      <c r="K27" s="76">
        <f t="shared" si="6"/>
        <v>42.699837440000024</v>
      </c>
      <c r="L27" s="76">
        <f t="shared" si="6"/>
        <v>44.407830937600025</v>
      </c>
      <c r="M27" s="76">
        <f t="shared" si="6"/>
        <v>46.184144175104031</v>
      </c>
      <c r="N27" s="76">
        <f t="shared" si="6"/>
        <v>48.031509942108187</v>
      </c>
      <c r="O27" s="76">
        <f t="shared" si="6"/>
        <v>49.952770339792522</v>
      </c>
    </row>
    <row r="28" spans="1:15" ht="15.75">
      <c r="A28" s="56"/>
      <c r="B28" s="57" t="s">
        <v>166</v>
      </c>
      <c r="C28" s="84">
        <v>0.02</v>
      </c>
      <c r="D28" s="83"/>
      <c r="E28" s="57"/>
      <c r="F28" s="71">
        <f t="shared" si="6"/>
        <v>3.1633333333333331</v>
      </c>
      <c r="G28" s="71">
        <f t="shared" si="6"/>
        <v>8.1111111111111107</v>
      </c>
      <c r="H28" s="71">
        <f t="shared" si="6"/>
        <v>8.4355555555555561</v>
      </c>
      <c r="I28" s="71">
        <f t="shared" si="6"/>
        <v>8.7729777777777791</v>
      </c>
      <c r="J28" s="71">
        <f t="shared" si="6"/>
        <v>9.1238968888888898</v>
      </c>
      <c r="K28" s="71">
        <f t="shared" si="6"/>
        <v>9.4888527644444451</v>
      </c>
      <c r="L28" s="71">
        <f t="shared" si="6"/>
        <v>9.8684068750222238</v>
      </c>
      <c r="M28" s="71">
        <f t="shared" si="6"/>
        <v>10.263143150023113</v>
      </c>
      <c r="N28" s="71">
        <f t="shared" si="6"/>
        <v>10.673668876024037</v>
      </c>
      <c r="O28" s="71">
        <f t="shared" si="6"/>
        <v>11.100615631065001</v>
      </c>
    </row>
    <row r="29" spans="1:15" ht="15.75">
      <c r="A29" s="56"/>
      <c r="B29" s="57"/>
      <c r="C29" s="83"/>
      <c r="D29" s="83"/>
      <c r="E29" s="83"/>
      <c r="F29" s="76">
        <f t="shared" ref="F29:O29" si="7">SUM(F24:F28)</f>
        <v>158.16666666666666</v>
      </c>
      <c r="G29" s="76">
        <f t="shared" si="7"/>
        <v>405.55555555555549</v>
      </c>
      <c r="H29" s="76">
        <f t="shared" si="7"/>
        <v>421.77777777777783</v>
      </c>
      <c r="I29" s="76">
        <f t="shared" si="7"/>
        <v>438.64888888888891</v>
      </c>
      <c r="J29" s="76">
        <f t="shared" si="7"/>
        <v>456.19484444444447</v>
      </c>
      <c r="K29" s="76">
        <f t="shared" si="7"/>
        <v>474.44263822222229</v>
      </c>
      <c r="L29" s="76">
        <f t="shared" si="7"/>
        <v>493.42034375111115</v>
      </c>
      <c r="M29" s="76">
        <f t="shared" si="7"/>
        <v>513.15715750115567</v>
      </c>
      <c r="N29" s="76">
        <f t="shared" si="7"/>
        <v>533.68344380120186</v>
      </c>
      <c r="O29" s="76">
        <f t="shared" si="7"/>
        <v>555.03078155325011</v>
      </c>
    </row>
    <row r="30" spans="1:15" ht="15.75">
      <c r="A30" s="56"/>
      <c r="B30" s="57"/>
      <c r="C30" s="129"/>
      <c r="D30" s="129"/>
      <c r="E30" s="130"/>
      <c r="F30" s="58"/>
      <c r="G30" s="58"/>
      <c r="H30" s="58"/>
      <c r="I30" s="58"/>
      <c r="J30" s="58"/>
      <c r="K30" s="57"/>
      <c r="L30" s="57"/>
      <c r="M30" s="57"/>
      <c r="N30" s="57"/>
      <c r="O30" s="57"/>
    </row>
    <row r="31" spans="1:15" ht="15.75">
      <c r="A31" s="55"/>
      <c r="B31" s="82"/>
      <c r="C31" s="28" t="s">
        <v>30</v>
      </c>
      <c r="D31" s="28"/>
      <c r="E31" s="131" t="s">
        <v>22</v>
      </c>
      <c r="F31" s="81"/>
      <c r="G31" s="81"/>
      <c r="H31" s="81"/>
      <c r="I31" s="81"/>
      <c r="J31" s="81"/>
      <c r="K31" s="22"/>
      <c r="L31" s="22"/>
      <c r="M31" s="22"/>
      <c r="N31" s="22"/>
      <c r="O31" s="22"/>
    </row>
    <row r="32" spans="1:15" ht="15.75">
      <c r="A32" s="79"/>
      <c r="B32" s="80" t="s">
        <v>29</v>
      </c>
      <c r="C32" s="78">
        <v>27795</v>
      </c>
      <c r="D32" s="46"/>
      <c r="E32" s="90">
        <v>0</v>
      </c>
      <c r="F32" s="76">
        <f>F24*$C32/1000</f>
        <v>1582.6473000000001</v>
      </c>
      <c r="G32" s="76">
        <f t="shared" ref="G32:O32" si="8">(G24*$C32*(1+$E$32))/1000</f>
        <v>4058.07</v>
      </c>
      <c r="H32" s="76">
        <f t="shared" si="8"/>
        <v>4220.3927999999996</v>
      </c>
      <c r="I32" s="76">
        <f t="shared" si="8"/>
        <v>4389.2085120000002</v>
      </c>
      <c r="J32" s="76">
        <f t="shared" si="8"/>
        <v>4564.7768524799994</v>
      </c>
      <c r="K32" s="76">
        <f t="shared" si="8"/>
        <v>4747.3679265792007</v>
      </c>
      <c r="L32" s="76">
        <f t="shared" si="8"/>
        <v>4937.2626436423689</v>
      </c>
      <c r="M32" s="76">
        <f t="shared" si="8"/>
        <v>5134.7531493880633</v>
      </c>
      <c r="N32" s="76">
        <f t="shared" si="8"/>
        <v>5340.1432753635863</v>
      </c>
      <c r="O32" s="76">
        <f t="shared" si="8"/>
        <v>5553.7490063781297</v>
      </c>
    </row>
    <row r="33" spans="1:15" ht="15.75">
      <c r="A33" s="56"/>
      <c r="B33" s="57" t="s">
        <v>28</v>
      </c>
      <c r="C33" s="78">
        <v>35000</v>
      </c>
      <c r="D33" s="46"/>
      <c r="E33" s="90">
        <v>1.2999999999999999E-2</v>
      </c>
      <c r="F33" s="76">
        <f>F25*$C33/1000</f>
        <v>1605.3916666666662</v>
      </c>
      <c r="G33" s="76">
        <f t="shared" ref="G33:O33" si="9">G25*$C33*(1+$E$33)/1000</f>
        <v>4169.9019444444439</v>
      </c>
      <c r="H33" s="76">
        <f t="shared" si="9"/>
        <v>4336.6980222222219</v>
      </c>
      <c r="I33" s="76">
        <f t="shared" si="9"/>
        <v>4510.1659431111102</v>
      </c>
      <c r="J33" s="76">
        <f t="shared" si="9"/>
        <v>4690.5725808355546</v>
      </c>
      <c r="K33" s="76">
        <f t="shared" si="9"/>
        <v>4878.1954840689777</v>
      </c>
      <c r="L33" s="76">
        <f t="shared" si="9"/>
        <v>5073.3233034317373</v>
      </c>
      <c r="M33" s="76">
        <f t="shared" si="9"/>
        <v>5276.256235569007</v>
      </c>
      <c r="N33" s="76">
        <f t="shared" si="9"/>
        <v>5487.3064849917664</v>
      </c>
      <c r="O33" s="76">
        <f t="shared" si="9"/>
        <v>5706.798744391439</v>
      </c>
    </row>
    <row r="34" spans="1:15" ht="15.75">
      <c r="A34" s="56"/>
      <c r="B34" s="22" t="s">
        <v>27</v>
      </c>
      <c r="C34" s="78">
        <v>2800</v>
      </c>
      <c r="D34" s="46"/>
      <c r="E34" s="90">
        <v>0.05</v>
      </c>
      <c r="F34" s="76">
        <f>$C$34*F$16*$C$26/1000</f>
        <v>3188.64</v>
      </c>
      <c r="G34" s="76">
        <f t="shared" ref="G34:O34" si="10">$C$34*G$16*$C$26*(1+$E$34)/1000</f>
        <v>7726.32</v>
      </c>
      <c r="H34" s="76">
        <f t="shared" si="10"/>
        <v>8035.372800000001</v>
      </c>
      <c r="I34" s="76">
        <f t="shared" si="10"/>
        <v>8356.7877119999994</v>
      </c>
      <c r="J34" s="76">
        <f t="shared" si="10"/>
        <v>8691.0592204800014</v>
      </c>
      <c r="K34" s="76">
        <f t="shared" si="10"/>
        <v>9038.7015892992022</v>
      </c>
      <c r="L34" s="76">
        <f t="shared" si="10"/>
        <v>9400.2496528711672</v>
      </c>
      <c r="M34" s="76">
        <f t="shared" si="10"/>
        <v>9776.2596389860155</v>
      </c>
      <c r="N34" s="76">
        <f t="shared" si="10"/>
        <v>10167.310024545459</v>
      </c>
      <c r="O34" s="76">
        <f t="shared" si="10"/>
        <v>10574.002425527277</v>
      </c>
    </row>
    <row r="35" spans="1:15" ht="15.75">
      <c r="A35" s="56"/>
      <c r="B35" s="57" t="s">
        <v>26</v>
      </c>
      <c r="C35" s="78">
        <v>38500</v>
      </c>
      <c r="D35" s="46"/>
      <c r="E35" s="77">
        <v>1.2999999999999999E-2</v>
      </c>
      <c r="F35" s="76">
        <f>F27*$C$35/1000</f>
        <v>548.04750000000024</v>
      </c>
      <c r="G35" s="76">
        <f t="shared" ref="G35:O35" si="11">G27*$C$35*(1+$E$35)/1000</f>
        <v>1423.5182500000003</v>
      </c>
      <c r="H35" s="76">
        <f t="shared" si="11"/>
        <v>1480.4589800000001</v>
      </c>
      <c r="I35" s="76">
        <f t="shared" si="11"/>
        <v>1539.6773392000005</v>
      </c>
      <c r="J35" s="76">
        <f t="shared" si="11"/>
        <v>1601.2644327680007</v>
      </c>
      <c r="K35" s="76">
        <f t="shared" si="11"/>
        <v>1665.3150100787207</v>
      </c>
      <c r="L35" s="76">
        <f t="shared" si="11"/>
        <v>1731.9276104818694</v>
      </c>
      <c r="M35" s="76">
        <f t="shared" si="11"/>
        <v>1801.2047149011446</v>
      </c>
      <c r="N35" s="76">
        <f t="shared" si="11"/>
        <v>1873.2529034971899</v>
      </c>
      <c r="O35" s="76">
        <f t="shared" si="11"/>
        <v>1948.1830196370781</v>
      </c>
    </row>
    <row r="36" spans="1:15" ht="15.75">
      <c r="A36" s="56"/>
      <c r="B36" s="75" t="s">
        <v>25</v>
      </c>
      <c r="C36" s="74">
        <v>35000</v>
      </c>
      <c r="D36" s="73"/>
      <c r="E36" s="72">
        <v>1.2999999999999999E-2</v>
      </c>
      <c r="F36" s="71">
        <f>F28*$C$36/1000</f>
        <v>110.71666666666665</v>
      </c>
      <c r="G36" s="71">
        <f t="shared" ref="G36:O36" si="12">G28*$C$36*(1+$E$36)/1000</f>
        <v>287.57944444444439</v>
      </c>
      <c r="H36" s="71">
        <f t="shared" si="12"/>
        <v>299.0826222222222</v>
      </c>
      <c r="I36" s="71">
        <f t="shared" si="12"/>
        <v>311.0459271111111</v>
      </c>
      <c r="J36" s="71">
        <f t="shared" si="12"/>
        <v>323.4877641955556</v>
      </c>
      <c r="K36" s="71">
        <f t="shared" si="12"/>
        <v>336.4272747633778</v>
      </c>
      <c r="L36" s="71">
        <f t="shared" si="12"/>
        <v>349.8843657539129</v>
      </c>
      <c r="M36" s="71">
        <f t="shared" si="12"/>
        <v>363.87974038406946</v>
      </c>
      <c r="N36" s="71">
        <f t="shared" si="12"/>
        <v>378.4349299994322</v>
      </c>
      <c r="O36" s="71">
        <f t="shared" si="12"/>
        <v>393.57232719940953</v>
      </c>
    </row>
    <row r="37" spans="1:15">
      <c r="A37" s="68"/>
      <c r="B37" s="63" t="s">
        <v>167</v>
      </c>
      <c r="C37" s="70" t="s">
        <v>38</v>
      </c>
      <c r="D37" s="70"/>
      <c r="E37" s="68"/>
      <c r="F37" s="69">
        <f t="shared" ref="F37:O37" si="13">SUM(F32:F36)</f>
        <v>7035.4431333333332</v>
      </c>
      <c r="G37" s="69">
        <f t="shared" si="13"/>
        <v>17665.389638888886</v>
      </c>
      <c r="H37" s="69">
        <f t="shared" si="13"/>
        <v>18372.005224444445</v>
      </c>
      <c r="I37" s="69">
        <f t="shared" si="13"/>
        <v>19106.88543342222</v>
      </c>
      <c r="J37" s="69">
        <f t="shared" si="13"/>
        <v>19871.160850759112</v>
      </c>
      <c r="K37" s="69">
        <f t="shared" si="13"/>
        <v>20666.007284789477</v>
      </c>
      <c r="L37" s="69">
        <f t="shared" si="13"/>
        <v>21492.647576181058</v>
      </c>
      <c r="M37" s="69">
        <f t="shared" si="13"/>
        <v>22352.353479228299</v>
      </c>
      <c r="N37" s="69">
        <f t="shared" si="13"/>
        <v>23246.447618397433</v>
      </c>
      <c r="O37" s="69">
        <f t="shared" si="13"/>
        <v>24176.305523133335</v>
      </c>
    </row>
    <row r="38" spans="1:15" ht="15.75">
      <c r="A38" s="21"/>
      <c r="B38" s="67" t="s">
        <v>24</v>
      </c>
      <c r="C38" s="66">
        <v>0.01</v>
      </c>
      <c r="D38" s="66"/>
      <c r="E38" s="65"/>
      <c r="F38" s="64">
        <f t="shared" ref="F38:O38" si="14">F$37*$C38</f>
        <v>70.354431333333338</v>
      </c>
      <c r="G38" s="64">
        <f t="shared" si="14"/>
        <v>176.65389638888885</v>
      </c>
      <c r="H38" s="64">
        <f t="shared" si="14"/>
        <v>183.72005224444445</v>
      </c>
      <c r="I38" s="64">
        <f t="shared" si="14"/>
        <v>191.06885433422221</v>
      </c>
      <c r="J38" s="64">
        <f t="shared" si="14"/>
        <v>198.71160850759111</v>
      </c>
      <c r="K38" s="64">
        <f t="shared" si="14"/>
        <v>206.66007284789478</v>
      </c>
      <c r="L38" s="64">
        <f t="shared" si="14"/>
        <v>214.92647576181059</v>
      </c>
      <c r="M38" s="64">
        <f t="shared" si="14"/>
        <v>223.52353479228299</v>
      </c>
      <c r="N38" s="64">
        <f t="shared" si="14"/>
        <v>232.46447618397434</v>
      </c>
      <c r="O38" s="64">
        <f t="shared" si="14"/>
        <v>241.76305523133334</v>
      </c>
    </row>
    <row r="39" spans="1:15" ht="15.75">
      <c r="A39" s="21"/>
      <c r="B39" s="63" t="s">
        <v>23</v>
      </c>
      <c r="C39" s="62" t="str">
        <f>C37</f>
        <v>(000 omitted)</v>
      </c>
      <c r="D39" s="62"/>
      <c r="E39" s="61"/>
      <c r="F39" s="37">
        <f t="shared" ref="F39:O39" si="15">F37-F38</f>
        <v>6965.088702</v>
      </c>
      <c r="G39" s="37">
        <f t="shared" si="15"/>
        <v>17488.735742499997</v>
      </c>
      <c r="H39" s="37">
        <f t="shared" si="15"/>
        <v>18188.285172200001</v>
      </c>
      <c r="I39" s="37">
        <f t="shared" si="15"/>
        <v>18915.816579087998</v>
      </c>
      <c r="J39" s="37">
        <f t="shared" si="15"/>
        <v>19672.449242251521</v>
      </c>
      <c r="K39" s="37">
        <f t="shared" si="15"/>
        <v>20459.347211941582</v>
      </c>
      <c r="L39" s="37">
        <f t="shared" si="15"/>
        <v>21277.721100419247</v>
      </c>
      <c r="M39" s="37">
        <f t="shared" si="15"/>
        <v>22128.829944436016</v>
      </c>
      <c r="N39" s="37">
        <f t="shared" si="15"/>
        <v>23013.983142213459</v>
      </c>
      <c r="O39" s="37">
        <f t="shared" si="15"/>
        <v>23934.542467902</v>
      </c>
    </row>
    <row r="40" spans="1:15" ht="15.75">
      <c r="A40" s="60"/>
      <c r="B40" s="60"/>
      <c r="C40" s="60"/>
      <c r="D40" s="60"/>
      <c r="E40" s="59"/>
      <c r="F40" s="58"/>
      <c r="G40" s="58"/>
      <c r="H40" s="58"/>
      <c r="I40" s="58"/>
      <c r="J40" s="58"/>
      <c r="K40" s="57"/>
      <c r="L40" s="57"/>
      <c r="M40" s="57"/>
      <c r="N40" s="57"/>
      <c r="O40" s="57"/>
    </row>
    <row r="41" spans="1:15" ht="15.75">
      <c r="A41" s="55" t="s">
        <v>168</v>
      </c>
      <c r="B41" s="22"/>
      <c r="C41" s="22"/>
      <c r="D41" s="22"/>
      <c r="E41" s="54" t="s">
        <v>22</v>
      </c>
      <c r="F41" s="33"/>
      <c r="G41" s="33"/>
      <c r="H41" s="33"/>
      <c r="I41" s="33"/>
      <c r="J41" s="33"/>
      <c r="K41" s="22"/>
      <c r="L41" s="22"/>
      <c r="M41" s="22"/>
      <c r="N41" s="22"/>
      <c r="O41" s="22"/>
    </row>
    <row r="42" spans="1:15" ht="15.75">
      <c r="A42" s="21"/>
      <c r="B42" s="36" t="s">
        <v>47</v>
      </c>
      <c r="C42" s="43">
        <v>60250</v>
      </c>
      <c r="D42" s="43"/>
      <c r="E42" s="48">
        <v>0.03</v>
      </c>
      <c r="F42" s="33">
        <f t="shared" ref="F42:O42" si="16">F21*$C42*(1+$E$42)^(F12-1)/1000</f>
        <v>3759.6</v>
      </c>
      <c r="G42" s="33">
        <f t="shared" si="16"/>
        <v>6516.0375000000004</v>
      </c>
      <c r="H42" s="33">
        <f t="shared" si="16"/>
        <v>6979.97937</v>
      </c>
      <c r="I42" s="33">
        <f t="shared" si="16"/>
        <v>7476.9539011440002</v>
      </c>
      <c r="J42" s="33">
        <f t="shared" si="16"/>
        <v>8009.3130189054509</v>
      </c>
      <c r="K42" s="33">
        <f t="shared" si="16"/>
        <v>8579.57610585152</v>
      </c>
      <c r="L42" s="33">
        <f t="shared" si="16"/>
        <v>9190.441924588149</v>
      </c>
      <c r="M42" s="33">
        <f t="shared" si="16"/>
        <v>9844.8013896188277</v>
      </c>
      <c r="N42" s="33">
        <f t="shared" si="16"/>
        <v>10545.751248559687</v>
      </c>
      <c r="O42" s="33">
        <f t="shared" si="16"/>
        <v>11296.608737457138</v>
      </c>
    </row>
    <row r="43" spans="1:15" ht="15.75">
      <c r="A43" s="21"/>
      <c r="B43" s="36" t="s">
        <v>21</v>
      </c>
      <c r="C43" s="53">
        <v>0.16300000000000001</v>
      </c>
      <c r="D43" s="53"/>
      <c r="E43" s="21"/>
      <c r="F43" s="33">
        <f t="shared" ref="F43:O44" si="17">F$39*$C43</f>
        <v>1135.309458426</v>
      </c>
      <c r="G43" s="33">
        <f t="shared" si="17"/>
        <v>2850.6639260274997</v>
      </c>
      <c r="H43" s="33">
        <f t="shared" si="17"/>
        <v>2964.6904830686003</v>
      </c>
      <c r="I43" s="33">
        <f t="shared" si="17"/>
        <v>3083.2781023913435</v>
      </c>
      <c r="J43" s="33">
        <f t="shared" si="17"/>
        <v>3206.6092264869981</v>
      </c>
      <c r="K43" s="33">
        <f t="shared" si="17"/>
        <v>3334.8735955464781</v>
      </c>
      <c r="L43" s="33">
        <f t="shared" si="17"/>
        <v>3468.2685393683373</v>
      </c>
      <c r="M43" s="33">
        <f t="shared" si="17"/>
        <v>3606.999280943071</v>
      </c>
      <c r="N43" s="33">
        <f t="shared" si="17"/>
        <v>3751.2792521807942</v>
      </c>
      <c r="O43" s="33">
        <f t="shared" si="17"/>
        <v>3901.3304222680263</v>
      </c>
    </row>
    <row r="44" spans="1:15" ht="15.75">
      <c r="A44" s="21"/>
      <c r="B44" s="36" t="s">
        <v>20</v>
      </c>
      <c r="C44" s="50">
        <v>0.08</v>
      </c>
      <c r="D44" s="50"/>
      <c r="E44" s="42"/>
      <c r="F44" s="33">
        <f t="shared" si="17"/>
        <v>557.20709615999999</v>
      </c>
      <c r="G44" s="33">
        <f t="shared" si="17"/>
        <v>1399.0988593999998</v>
      </c>
      <c r="H44" s="33">
        <f t="shared" si="17"/>
        <v>1455.0628137760002</v>
      </c>
      <c r="I44" s="33">
        <f t="shared" si="17"/>
        <v>1513.2653263270399</v>
      </c>
      <c r="J44" s="33">
        <f t="shared" si="17"/>
        <v>1573.7959393801218</v>
      </c>
      <c r="K44" s="33">
        <f t="shared" si="17"/>
        <v>1636.7477769553266</v>
      </c>
      <c r="L44" s="33">
        <f t="shared" si="17"/>
        <v>1702.2176880335398</v>
      </c>
      <c r="M44" s="33">
        <f t="shared" si="17"/>
        <v>1770.3063955548814</v>
      </c>
      <c r="N44" s="33">
        <f t="shared" si="17"/>
        <v>1841.1186513770767</v>
      </c>
      <c r="O44" s="33">
        <f t="shared" si="17"/>
        <v>1914.76339743216</v>
      </c>
    </row>
    <row r="45" spans="1:15" ht="15.75">
      <c r="A45" s="21"/>
      <c r="B45" s="36"/>
      <c r="C45" s="25"/>
      <c r="D45" s="25"/>
      <c r="E45" s="21"/>
      <c r="F45" s="33"/>
      <c r="G45" s="33"/>
      <c r="H45" s="33"/>
      <c r="I45" s="33"/>
      <c r="J45" s="33"/>
      <c r="K45" s="22"/>
      <c r="L45" s="22"/>
      <c r="M45" s="22"/>
      <c r="N45" s="22"/>
      <c r="O45" s="22"/>
    </row>
    <row r="46" spans="1:15" ht="15.75">
      <c r="A46" s="21"/>
      <c r="B46" s="36" t="s">
        <v>19</v>
      </c>
      <c r="C46" s="43">
        <v>1200000</v>
      </c>
      <c r="D46" s="43"/>
      <c r="E46" s="52" t="s">
        <v>46</v>
      </c>
      <c r="F46" s="33">
        <f t="shared" ref="F46:O46" si="18">$C$46/1000+$C$9*F39</f>
        <v>1687.55620914</v>
      </c>
      <c r="G46" s="33">
        <f t="shared" si="18"/>
        <v>2424.2115019749999</v>
      </c>
      <c r="H46" s="33">
        <f t="shared" si="18"/>
        <v>2473.1799620540005</v>
      </c>
      <c r="I46" s="33">
        <f t="shared" si="18"/>
        <v>2524.1071605361599</v>
      </c>
      <c r="J46" s="33">
        <f t="shared" si="18"/>
        <v>2577.0714469576069</v>
      </c>
      <c r="K46" s="33">
        <f t="shared" si="18"/>
        <v>2632.1543048359108</v>
      </c>
      <c r="L46" s="33">
        <f t="shared" si="18"/>
        <v>2689.4404770293477</v>
      </c>
      <c r="M46" s="33">
        <f t="shared" si="18"/>
        <v>2749.0180961105216</v>
      </c>
      <c r="N46" s="33">
        <f t="shared" si="18"/>
        <v>2810.9788199549421</v>
      </c>
      <c r="O46" s="33">
        <f t="shared" si="18"/>
        <v>2875.41797275314</v>
      </c>
    </row>
    <row r="47" spans="1:15" ht="15.75">
      <c r="A47" s="21"/>
      <c r="B47" s="36" t="s">
        <v>124</v>
      </c>
      <c r="C47" s="43">
        <v>200000</v>
      </c>
      <c r="D47" s="43"/>
      <c r="E47" s="48">
        <v>0.03</v>
      </c>
      <c r="F47" s="33">
        <f>C47/1000</f>
        <v>200</v>
      </c>
      <c r="G47" s="33">
        <f t="shared" ref="G47:O47" si="19">F47*(1+$E47)</f>
        <v>206</v>
      </c>
      <c r="H47" s="33">
        <f t="shared" si="19"/>
        <v>212.18</v>
      </c>
      <c r="I47" s="33">
        <f t="shared" si="19"/>
        <v>218.5454</v>
      </c>
      <c r="J47" s="33">
        <f t="shared" si="19"/>
        <v>225.10176200000001</v>
      </c>
      <c r="K47" s="33">
        <f t="shared" si="19"/>
        <v>231.85481486</v>
      </c>
      <c r="L47" s="33">
        <f t="shared" si="19"/>
        <v>238.81045930580001</v>
      </c>
      <c r="M47" s="33">
        <f t="shared" si="19"/>
        <v>245.974773084974</v>
      </c>
      <c r="N47" s="33">
        <f t="shared" si="19"/>
        <v>253.35401627752324</v>
      </c>
      <c r="O47" s="33">
        <f t="shared" si="19"/>
        <v>260.95463676584893</v>
      </c>
    </row>
    <row r="48" spans="1:15" ht="18">
      <c r="A48" s="21"/>
      <c r="B48" s="36" t="s">
        <v>123</v>
      </c>
      <c r="C48" s="43">
        <f>500000*30</f>
        <v>15000000</v>
      </c>
      <c r="D48" s="43"/>
      <c r="E48" s="42"/>
      <c r="F48" s="51">
        <f>15000000/30/1000</f>
        <v>500</v>
      </c>
      <c r="G48" s="51">
        <f t="shared" ref="G48:O48" si="20">F48</f>
        <v>500</v>
      </c>
      <c r="H48" s="51">
        <f t="shared" si="20"/>
        <v>500</v>
      </c>
      <c r="I48" s="51">
        <f t="shared" si="20"/>
        <v>500</v>
      </c>
      <c r="J48" s="51">
        <f t="shared" si="20"/>
        <v>500</v>
      </c>
      <c r="K48" s="51">
        <f t="shared" si="20"/>
        <v>500</v>
      </c>
      <c r="L48" s="51">
        <f t="shared" si="20"/>
        <v>500</v>
      </c>
      <c r="M48" s="51">
        <f t="shared" si="20"/>
        <v>500</v>
      </c>
      <c r="N48" s="51">
        <f t="shared" si="20"/>
        <v>500</v>
      </c>
      <c r="O48" s="51">
        <f t="shared" si="20"/>
        <v>500</v>
      </c>
    </row>
    <row r="49" spans="1:15" ht="15.75">
      <c r="A49" s="21"/>
      <c r="B49" s="40" t="s">
        <v>122</v>
      </c>
      <c r="C49" s="62" t="str">
        <f>C37</f>
        <v>(000 omitted)</v>
      </c>
      <c r="D49" s="43"/>
      <c r="E49" s="21"/>
      <c r="F49" s="124">
        <f t="shared" ref="F49:O49" si="21">SUM(F42:F48)</f>
        <v>7839.6727637260001</v>
      </c>
      <c r="G49" s="124">
        <f t="shared" si="21"/>
        <v>13896.011787402498</v>
      </c>
      <c r="H49" s="124">
        <f t="shared" si="21"/>
        <v>14585.092628898601</v>
      </c>
      <c r="I49" s="124">
        <f t="shared" si="21"/>
        <v>15316.149890398545</v>
      </c>
      <c r="J49" s="124">
        <f t="shared" si="21"/>
        <v>16091.891393730177</v>
      </c>
      <c r="K49" s="124">
        <f t="shared" si="21"/>
        <v>16915.206598049233</v>
      </c>
      <c r="L49" s="124">
        <f t="shared" si="21"/>
        <v>17789.179088325174</v>
      </c>
      <c r="M49" s="124">
        <f t="shared" si="21"/>
        <v>18717.099935312275</v>
      </c>
      <c r="N49" s="124">
        <f t="shared" si="21"/>
        <v>19702.481988350024</v>
      </c>
      <c r="O49" s="124">
        <f t="shared" si="21"/>
        <v>20749.075166676314</v>
      </c>
    </row>
    <row r="50" spans="1:15" ht="15.75">
      <c r="A50" s="21"/>
      <c r="B50" s="29"/>
      <c r="C50" s="50"/>
      <c r="D50" s="50"/>
      <c r="E50" s="42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ht="15.75">
      <c r="A51" s="21"/>
      <c r="B51" s="29"/>
      <c r="C51" s="49" t="s">
        <v>64</v>
      </c>
      <c r="D51" s="46" t="s">
        <v>65</v>
      </c>
      <c r="E51" s="48" t="s">
        <v>65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ht="15.75">
      <c r="A52" s="21"/>
      <c r="B52" s="47" t="s">
        <v>63</v>
      </c>
      <c r="C52" s="46" t="s">
        <v>65</v>
      </c>
      <c r="D52" s="45" t="s">
        <v>65</v>
      </c>
      <c r="E52" s="44" t="s">
        <v>65</v>
      </c>
      <c r="F52" s="33" t="s">
        <v>66</v>
      </c>
      <c r="G52" s="33" t="s">
        <v>65</v>
      </c>
      <c r="H52" s="33" t="s">
        <v>65</v>
      </c>
      <c r="I52" s="33" t="s">
        <v>67</v>
      </c>
      <c r="J52" s="33" t="s">
        <v>65</v>
      </c>
      <c r="K52" s="33" t="s">
        <v>65</v>
      </c>
      <c r="L52" s="33" t="s">
        <v>65</v>
      </c>
      <c r="M52" s="33" t="s">
        <v>65</v>
      </c>
      <c r="N52" s="33" t="s">
        <v>65</v>
      </c>
      <c r="O52" s="33" t="s">
        <v>68</v>
      </c>
    </row>
    <row r="53" spans="1:15" ht="15.75">
      <c r="A53" s="21"/>
      <c r="B53" s="29"/>
      <c r="C53" s="43"/>
      <c r="D53" s="43"/>
      <c r="E53" s="42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ht="15.75">
      <c r="A54" s="21"/>
      <c r="B54" s="40" t="s">
        <v>122</v>
      </c>
      <c r="C54" s="39"/>
      <c r="D54" s="39"/>
      <c r="E54" s="38"/>
      <c r="F54" s="37">
        <f t="shared" ref="F54:O54" si="22">SUM(F49:F52)</f>
        <v>7839.6727637260001</v>
      </c>
      <c r="G54" s="37">
        <f t="shared" si="22"/>
        <v>13896.011787402498</v>
      </c>
      <c r="H54" s="37">
        <f t="shared" si="22"/>
        <v>14585.092628898601</v>
      </c>
      <c r="I54" s="37">
        <f t="shared" si="22"/>
        <v>15316.149890398545</v>
      </c>
      <c r="J54" s="37">
        <f t="shared" si="22"/>
        <v>16091.891393730177</v>
      </c>
      <c r="K54" s="37">
        <f t="shared" si="22"/>
        <v>16915.206598049233</v>
      </c>
      <c r="L54" s="37">
        <f t="shared" si="22"/>
        <v>17789.179088325174</v>
      </c>
      <c r="M54" s="37">
        <f t="shared" si="22"/>
        <v>18717.099935312275</v>
      </c>
      <c r="N54" s="37">
        <f t="shared" si="22"/>
        <v>19702.481988350024</v>
      </c>
      <c r="O54" s="37">
        <f t="shared" si="22"/>
        <v>20749.075166676314</v>
      </c>
    </row>
    <row r="55" spans="1:15" ht="15.75">
      <c r="A55" s="21"/>
      <c r="B55" s="36"/>
      <c r="C55" s="35"/>
      <c r="D55" s="35"/>
      <c r="E55" s="34"/>
      <c r="F55" s="33"/>
      <c r="G55" s="33"/>
      <c r="H55" s="33"/>
      <c r="I55" s="33"/>
      <c r="J55" s="33"/>
      <c r="K55" s="22"/>
      <c r="L55" s="22"/>
      <c r="M55" s="22"/>
      <c r="N55" s="22"/>
      <c r="O55" s="22"/>
    </row>
    <row r="56" spans="1:15" ht="15.75">
      <c r="A56" s="94" t="s">
        <v>121</v>
      </c>
      <c r="B56" s="22"/>
      <c r="C56" s="22"/>
      <c r="D56" s="22"/>
      <c r="E56" s="22"/>
      <c r="F56" s="24">
        <f t="shared" ref="F56:O56" si="23">F37-F54</f>
        <v>-804.22963039266688</v>
      </c>
      <c r="G56" s="24">
        <f t="shared" si="23"/>
        <v>3769.377851486388</v>
      </c>
      <c r="H56" s="24">
        <f t="shared" si="23"/>
        <v>3786.9125955458439</v>
      </c>
      <c r="I56" s="24">
        <f t="shared" si="23"/>
        <v>3790.7355430236748</v>
      </c>
      <c r="J56" s="24">
        <f t="shared" si="23"/>
        <v>3779.269457028935</v>
      </c>
      <c r="K56" s="24">
        <f t="shared" si="23"/>
        <v>3750.8006867402437</v>
      </c>
      <c r="L56" s="24">
        <f t="shared" si="23"/>
        <v>3703.4684878558837</v>
      </c>
      <c r="M56" s="24">
        <f t="shared" si="23"/>
        <v>3635.2535439160238</v>
      </c>
      <c r="N56" s="24">
        <f t="shared" si="23"/>
        <v>3543.9656300474089</v>
      </c>
      <c r="O56" s="24">
        <f t="shared" si="23"/>
        <v>3427.2303564570211</v>
      </c>
    </row>
    <row r="57" spans="1:15" ht="15.75">
      <c r="A57" s="21"/>
      <c r="B57" s="22" t="s">
        <v>120</v>
      </c>
      <c r="C57" s="22"/>
      <c r="D57" s="22"/>
      <c r="E57" s="21"/>
      <c r="F57" s="25">
        <f t="shared" ref="F57:O57" si="24">F56/F37</f>
        <v>-0.1143111549835852</v>
      </c>
      <c r="G57" s="25">
        <f t="shared" si="24"/>
        <v>0.21337643428981698</v>
      </c>
      <c r="H57" s="25">
        <f t="shared" si="24"/>
        <v>0.20612407569464739</v>
      </c>
      <c r="I57" s="25">
        <f t="shared" si="24"/>
        <v>0.19839630881927151</v>
      </c>
      <c r="J57" s="25">
        <f t="shared" si="24"/>
        <v>0.19018866010963625</v>
      </c>
      <c r="K57" s="25">
        <f t="shared" si="24"/>
        <v>0.18149614654887375</v>
      </c>
      <c r="L57" s="25">
        <f t="shared" si="24"/>
        <v>0.17231327479450245</v>
      </c>
      <c r="M57" s="25">
        <f t="shared" si="24"/>
        <v>0.16263403973519877</v>
      </c>
      <c r="N57" s="25">
        <f t="shared" si="24"/>
        <v>0.15245192247105682</v>
      </c>
      <c r="O57" s="25">
        <f t="shared" si="24"/>
        <v>0.14175988772054698</v>
      </c>
    </row>
    <row r="58" spans="1:15" ht="15.75">
      <c r="A58" s="21"/>
      <c r="B58" s="22"/>
      <c r="C58" s="22"/>
      <c r="D58" s="22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</row>
    <row r="59" spans="1:15" ht="15.75">
      <c r="A59" s="55" t="s">
        <v>113</v>
      </c>
      <c r="B59" s="22"/>
      <c r="C59" s="22" t="s">
        <v>119</v>
      </c>
      <c r="D59" s="22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</row>
    <row r="60" spans="1:15" ht="15.75">
      <c r="A60" s="21"/>
      <c r="B60" s="22" t="s">
        <v>118</v>
      </c>
      <c r="C60" s="22" t="s">
        <v>114</v>
      </c>
      <c r="D60" s="22"/>
      <c r="E60" s="21"/>
      <c r="F60" s="21">
        <f t="shared" ref="F60:O60" si="25">(F39*30)/365</f>
        <v>572.47304400000007</v>
      </c>
      <c r="G60" s="21">
        <f t="shared" si="25"/>
        <v>1437.4303349999998</v>
      </c>
      <c r="H60" s="21">
        <f t="shared" si="25"/>
        <v>1494.9275484000002</v>
      </c>
      <c r="I60" s="21">
        <f t="shared" si="25"/>
        <v>1554.724650336</v>
      </c>
      <c r="J60" s="21">
        <f t="shared" si="25"/>
        <v>1616.9136363494401</v>
      </c>
      <c r="K60" s="21">
        <f t="shared" si="25"/>
        <v>1681.5901818034176</v>
      </c>
      <c r="L60" s="21">
        <f t="shared" si="25"/>
        <v>1748.8537890755547</v>
      </c>
      <c r="M60" s="21">
        <f t="shared" si="25"/>
        <v>1818.8079406385766</v>
      </c>
      <c r="N60" s="21">
        <f t="shared" si="25"/>
        <v>1891.5602582641202</v>
      </c>
      <c r="O60" s="21">
        <f t="shared" si="25"/>
        <v>1967.2226685946848</v>
      </c>
    </row>
    <row r="61" spans="1:15" ht="15.75">
      <c r="A61" s="21"/>
      <c r="B61" s="22" t="s">
        <v>117</v>
      </c>
      <c r="C61" s="22" t="s">
        <v>116</v>
      </c>
      <c r="D61" s="22"/>
      <c r="E61" s="21"/>
      <c r="F61" s="21">
        <f t="shared" ref="F61:O61" si="26">(F39*$C$43*60)/365</f>
        <v>186.62621234400001</v>
      </c>
      <c r="G61" s="21">
        <f t="shared" si="26"/>
        <v>468.60228920999998</v>
      </c>
      <c r="H61" s="21">
        <f t="shared" si="26"/>
        <v>487.34638077840003</v>
      </c>
      <c r="I61" s="21">
        <f t="shared" si="26"/>
        <v>506.84023600953594</v>
      </c>
      <c r="J61" s="21">
        <f t="shared" si="26"/>
        <v>527.11384544991756</v>
      </c>
      <c r="K61" s="21">
        <f t="shared" si="26"/>
        <v>548.19839926791417</v>
      </c>
      <c r="L61" s="21">
        <f t="shared" si="26"/>
        <v>570.12633523863087</v>
      </c>
      <c r="M61" s="21">
        <f t="shared" si="26"/>
        <v>592.93138864817604</v>
      </c>
      <c r="N61" s="21">
        <f t="shared" si="26"/>
        <v>616.64864419410321</v>
      </c>
      <c r="O61" s="21">
        <f t="shared" si="26"/>
        <v>641.31458996186734</v>
      </c>
    </row>
    <row r="62" spans="1:15" ht="15.75">
      <c r="A62" s="21"/>
      <c r="B62" s="22" t="s">
        <v>115</v>
      </c>
      <c r="C62" s="22" t="s">
        <v>114</v>
      </c>
      <c r="D62" s="22"/>
      <c r="E62" s="21"/>
      <c r="F62" s="21">
        <f t="shared" ref="F62:O62" si="27">(F39*$C$43*30)/365</f>
        <v>93.313106172000005</v>
      </c>
      <c r="G62" s="21">
        <f t="shared" si="27"/>
        <v>234.30114460499999</v>
      </c>
      <c r="H62" s="21">
        <f t="shared" si="27"/>
        <v>243.67319038920002</v>
      </c>
      <c r="I62" s="21">
        <f t="shared" si="27"/>
        <v>253.42011800476797</v>
      </c>
      <c r="J62" s="21">
        <f t="shared" si="27"/>
        <v>263.55692272495878</v>
      </c>
      <c r="K62" s="21">
        <f t="shared" si="27"/>
        <v>274.09919963395708</v>
      </c>
      <c r="L62" s="21">
        <f t="shared" si="27"/>
        <v>285.06316761931544</v>
      </c>
      <c r="M62" s="21">
        <f t="shared" si="27"/>
        <v>296.46569432408802</v>
      </c>
      <c r="N62" s="21">
        <f t="shared" si="27"/>
        <v>308.32432209705161</v>
      </c>
      <c r="O62" s="21">
        <f t="shared" si="27"/>
        <v>320.65729498093367</v>
      </c>
    </row>
    <row r="63" spans="1:15" ht="15.75">
      <c r="A63" s="21"/>
      <c r="B63" s="22" t="s">
        <v>113</v>
      </c>
      <c r="C63" s="22"/>
      <c r="D63" s="22"/>
      <c r="E63" s="21"/>
      <c r="F63" s="21">
        <f t="shared" ref="F63:O63" si="28">(F60+F61-F62)</f>
        <v>665.78615017200013</v>
      </c>
      <c r="G63" s="21">
        <f t="shared" si="28"/>
        <v>1671.7314796049998</v>
      </c>
      <c r="H63" s="21">
        <f t="shared" si="28"/>
        <v>1738.6007387892002</v>
      </c>
      <c r="I63" s="21">
        <f t="shared" si="28"/>
        <v>1808.1447683407678</v>
      </c>
      <c r="J63" s="21">
        <f t="shared" si="28"/>
        <v>1880.4705590743988</v>
      </c>
      <c r="K63" s="21">
        <f t="shared" si="28"/>
        <v>1955.6893814373748</v>
      </c>
      <c r="L63" s="21">
        <f t="shared" si="28"/>
        <v>2033.9169566948701</v>
      </c>
      <c r="M63" s="21">
        <f t="shared" si="28"/>
        <v>2115.2736349626648</v>
      </c>
      <c r="N63" s="21">
        <f t="shared" si="28"/>
        <v>2199.8845803611716</v>
      </c>
      <c r="O63" s="21">
        <f t="shared" si="28"/>
        <v>2287.8799635756181</v>
      </c>
    </row>
    <row r="64" spans="1:15" ht="15.75">
      <c r="A64" s="21"/>
      <c r="B64" s="22" t="s">
        <v>112</v>
      </c>
      <c r="C64" s="22"/>
      <c r="D64" s="22"/>
      <c r="E64" s="21"/>
      <c r="F64" s="21">
        <f>F63</f>
        <v>665.78615017200013</v>
      </c>
      <c r="G64" s="21">
        <f t="shared" ref="G64:O64" si="29">G63-F63</f>
        <v>1005.9453294329996</v>
      </c>
      <c r="H64" s="21">
        <f t="shared" si="29"/>
        <v>66.869259184200473</v>
      </c>
      <c r="I64" s="21">
        <f t="shared" si="29"/>
        <v>69.544029551567519</v>
      </c>
      <c r="J64" s="21">
        <f t="shared" si="29"/>
        <v>72.325790733631038</v>
      </c>
      <c r="K64" s="21">
        <f t="shared" si="29"/>
        <v>75.21882236297597</v>
      </c>
      <c r="L64" s="21">
        <f t="shared" si="29"/>
        <v>78.227575257495346</v>
      </c>
      <c r="M64" s="21">
        <f t="shared" si="29"/>
        <v>81.356678267794678</v>
      </c>
      <c r="N64" s="21">
        <f t="shared" si="29"/>
        <v>84.610945398506828</v>
      </c>
      <c r="O64" s="21">
        <f t="shared" si="29"/>
        <v>87.99538321444652</v>
      </c>
    </row>
    <row r="65" spans="1:15" ht="15.75">
      <c r="A65" s="21"/>
      <c r="B65" s="22"/>
      <c r="C65" s="22"/>
      <c r="D65" s="2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5.75">
      <c r="A66" s="55" t="s">
        <v>111</v>
      </c>
      <c r="B66" s="22"/>
      <c r="C66" s="22"/>
      <c r="D66" s="22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ht="15.75">
      <c r="A67" s="21"/>
      <c r="B67" s="22" t="str">
        <f>A56</f>
        <v>Operating Profit</v>
      </c>
      <c r="C67" s="22"/>
      <c r="D67" s="22"/>
      <c r="E67" s="21"/>
      <c r="F67" s="24">
        <f t="shared" ref="F67:O67" si="30">F56</f>
        <v>-804.22963039266688</v>
      </c>
      <c r="G67" s="24">
        <f t="shared" si="30"/>
        <v>3769.377851486388</v>
      </c>
      <c r="H67" s="24">
        <f t="shared" si="30"/>
        <v>3786.9125955458439</v>
      </c>
      <c r="I67" s="24">
        <f t="shared" si="30"/>
        <v>3790.7355430236748</v>
      </c>
      <c r="J67" s="24">
        <f t="shared" si="30"/>
        <v>3779.269457028935</v>
      </c>
      <c r="K67" s="24">
        <f t="shared" si="30"/>
        <v>3750.8006867402437</v>
      </c>
      <c r="L67" s="24">
        <f t="shared" si="30"/>
        <v>3703.4684878558837</v>
      </c>
      <c r="M67" s="24">
        <f t="shared" si="30"/>
        <v>3635.2535439160238</v>
      </c>
      <c r="N67" s="24">
        <f t="shared" si="30"/>
        <v>3543.9656300474089</v>
      </c>
      <c r="O67" s="24">
        <f t="shared" si="30"/>
        <v>3427.2303564570211</v>
      </c>
    </row>
    <row r="68" spans="1:15" ht="15.75">
      <c r="A68" s="21"/>
      <c r="B68" s="22" t="s">
        <v>110</v>
      </c>
      <c r="C68" s="22"/>
      <c r="D68" s="22"/>
      <c r="E68" s="21"/>
      <c r="F68" s="24">
        <f t="shared" ref="F68:O68" si="31">F48</f>
        <v>500</v>
      </c>
      <c r="G68" s="24">
        <f t="shared" si="31"/>
        <v>500</v>
      </c>
      <c r="H68" s="24">
        <f t="shared" si="31"/>
        <v>500</v>
      </c>
      <c r="I68" s="24">
        <f t="shared" si="31"/>
        <v>500</v>
      </c>
      <c r="J68" s="24">
        <f t="shared" si="31"/>
        <v>500</v>
      </c>
      <c r="K68" s="24">
        <f t="shared" si="31"/>
        <v>500</v>
      </c>
      <c r="L68" s="24">
        <f t="shared" si="31"/>
        <v>500</v>
      </c>
      <c r="M68" s="24">
        <f t="shared" si="31"/>
        <v>500</v>
      </c>
      <c r="N68" s="24">
        <f t="shared" si="31"/>
        <v>500</v>
      </c>
      <c r="O68" s="24">
        <f t="shared" si="31"/>
        <v>500</v>
      </c>
    </row>
    <row r="69" spans="1:15" ht="15.75">
      <c r="A69" s="21"/>
      <c r="B69" s="22" t="s">
        <v>109</v>
      </c>
      <c r="C69" s="22"/>
      <c r="D69" s="22"/>
      <c r="E69" s="24">
        <f>-$C$48/2/1000</f>
        <v>-7500</v>
      </c>
      <c r="F69" s="24">
        <f>-$C$48/2/1000</f>
        <v>-7500</v>
      </c>
      <c r="G69" s="24">
        <v>0</v>
      </c>
      <c r="H69" s="24">
        <f t="shared" ref="H69:O69" si="32">G69</f>
        <v>0</v>
      </c>
      <c r="I69" s="24">
        <f t="shared" si="32"/>
        <v>0</v>
      </c>
      <c r="J69" s="24">
        <f t="shared" si="32"/>
        <v>0</v>
      </c>
      <c r="K69" s="24">
        <f t="shared" si="32"/>
        <v>0</v>
      </c>
      <c r="L69" s="24">
        <f t="shared" si="32"/>
        <v>0</v>
      </c>
      <c r="M69" s="24">
        <f t="shared" si="32"/>
        <v>0</v>
      </c>
      <c r="N69" s="24">
        <f t="shared" si="32"/>
        <v>0</v>
      </c>
      <c r="O69" s="24">
        <f t="shared" si="32"/>
        <v>0</v>
      </c>
    </row>
    <row r="70" spans="1:15" ht="15.75">
      <c r="A70" s="21"/>
      <c r="B70" s="32" t="s">
        <v>108</v>
      </c>
      <c r="C70" s="32"/>
      <c r="D70" s="32"/>
      <c r="E70" s="32"/>
      <c r="F70" s="31">
        <f t="shared" ref="F70:O70" si="33">-F64</f>
        <v>-665.78615017200013</v>
      </c>
      <c r="G70" s="31">
        <f t="shared" si="33"/>
        <v>-1005.9453294329996</v>
      </c>
      <c r="H70" s="31">
        <f t="shared" si="33"/>
        <v>-66.869259184200473</v>
      </c>
      <c r="I70" s="31">
        <f t="shared" si="33"/>
        <v>-69.544029551567519</v>
      </c>
      <c r="J70" s="31">
        <f t="shared" si="33"/>
        <v>-72.325790733631038</v>
      </c>
      <c r="K70" s="31">
        <f t="shared" si="33"/>
        <v>-75.21882236297597</v>
      </c>
      <c r="L70" s="31">
        <f t="shared" si="33"/>
        <v>-78.227575257495346</v>
      </c>
      <c r="M70" s="31">
        <f t="shared" si="33"/>
        <v>-81.356678267794678</v>
      </c>
      <c r="N70" s="31">
        <f t="shared" si="33"/>
        <v>-84.610945398506828</v>
      </c>
      <c r="O70" s="31">
        <f t="shared" si="33"/>
        <v>-87.99538321444652</v>
      </c>
    </row>
    <row r="71" spans="1:15" ht="15.75">
      <c r="A71" s="21"/>
      <c r="B71" s="94" t="s">
        <v>107</v>
      </c>
      <c r="C71" s="94" t="str">
        <f>C37</f>
        <v>(000 omitted)</v>
      </c>
      <c r="D71" s="94"/>
      <c r="E71" s="95">
        <f t="shared" ref="E71:O71" si="34">SUM(E67:E70)</f>
        <v>-7500</v>
      </c>
      <c r="F71" s="95">
        <f t="shared" si="34"/>
        <v>-8470.0157805646668</v>
      </c>
      <c r="G71" s="95">
        <f t="shared" si="34"/>
        <v>3263.4325220533883</v>
      </c>
      <c r="H71" s="95">
        <f t="shared" si="34"/>
        <v>4220.043336361643</v>
      </c>
      <c r="I71" s="95">
        <f t="shared" si="34"/>
        <v>4221.1915134721075</v>
      </c>
      <c r="J71" s="95">
        <f t="shared" si="34"/>
        <v>4206.943666295304</v>
      </c>
      <c r="K71" s="95">
        <f t="shared" si="34"/>
        <v>4175.5818643772673</v>
      </c>
      <c r="L71" s="95">
        <f t="shared" si="34"/>
        <v>4125.2409125983886</v>
      </c>
      <c r="M71" s="95">
        <f t="shared" si="34"/>
        <v>4053.8968656482293</v>
      </c>
      <c r="N71" s="95">
        <f t="shared" si="34"/>
        <v>3959.3546846489021</v>
      </c>
      <c r="O71" s="95">
        <f t="shared" si="34"/>
        <v>3839.2349732425746</v>
      </c>
    </row>
    <row r="72" spans="1:15" ht="16.5" thickBot="1">
      <c r="A72" s="21"/>
      <c r="B72" s="30"/>
      <c r="C72" s="22"/>
      <c r="D72" s="22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ht="15.75">
      <c r="A73" s="21"/>
      <c r="B73" s="108" t="s">
        <v>106</v>
      </c>
      <c r="C73" s="109">
        <f>NPV(C10,F71:AA71)+E71</f>
        <v>5687.3549210569163</v>
      </c>
      <c r="D73" s="94" t="str">
        <f>I5</f>
        <v>(000 ommited)</v>
      </c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ht="16.5" thickBot="1">
      <c r="A74" s="21"/>
      <c r="B74" s="107" t="s">
        <v>105</v>
      </c>
      <c r="C74" s="110">
        <f>IRR(E71:AA71)</f>
        <v>0.17638092514880221</v>
      </c>
      <c r="D74" s="25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ht="15.75">
      <c r="A75" s="21"/>
      <c r="B75" s="22"/>
      <c r="C75" s="25"/>
      <c r="D75" s="25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5.75">
      <c r="A76" s="21"/>
      <c r="B76" s="29"/>
      <c r="C76" s="26"/>
      <c r="D76" s="22"/>
      <c r="E76" s="118" t="s">
        <v>48</v>
      </c>
      <c r="F76" s="119">
        <v>1</v>
      </c>
      <c r="G76" s="119">
        <v>2</v>
      </c>
      <c r="H76" s="119">
        <v>3</v>
      </c>
      <c r="I76" s="119">
        <v>4</v>
      </c>
      <c r="J76" s="119">
        <v>5</v>
      </c>
      <c r="K76" s="119">
        <v>6</v>
      </c>
      <c r="L76" s="119">
        <v>7</v>
      </c>
      <c r="M76" s="119">
        <v>8</v>
      </c>
      <c r="N76" s="119">
        <v>9</v>
      </c>
      <c r="O76" s="119">
        <v>10</v>
      </c>
    </row>
    <row r="77" spans="1:15" ht="15.75">
      <c r="A77" s="21"/>
      <c r="B77" s="22" t="s">
        <v>104</v>
      </c>
      <c r="C77" s="26"/>
      <c r="D77" s="22"/>
      <c r="E77" s="21"/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6">
        <f>O63</f>
        <v>2287.8799635756181</v>
      </c>
    </row>
    <row r="78" spans="1:15" ht="15.75">
      <c r="A78" s="21"/>
      <c r="B78" s="22" t="s">
        <v>103</v>
      </c>
      <c r="C78" s="26"/>
      <c r="D78" s="22"/>
      <c r="E78" s="21"/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6">
        <f>15000-SUM(F68:O68)</f>
        <v>10000</v>
      </c>
    </row>
    <row r="79" spans="1:15" ht="16.5" thickBot="1">
      <c r="A79" s="21"/>
      <c r="B79" s="22"/>
      <c r="C79" s="22"/>
      <c r="D79" s="22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ht="15.75">
      <c r="A80" s="21"/>
      <c r="B80" s="108" t="s">
        <v>102</v>
      </c>
      <c r="C80" s="109">
        <f>NPV(C10,F80:O80)+E80</f>
        <v>10424.864582329094</v>
      </c>
      <c r="D80" s="120" t="s">
        <v>44</v>
      </c>
      <c r="E80" s="24">
        <f t="shared" ref="E80:O80" si="35">E71+SUM(E77:E78)</f>
        <v>-7500</v>
      </c>
      <c r="F80" s="24">
        <f t="shared" si="35"/>
        <v>-8470.0157805646668</v>
      </c>
      <c r="G80" s="24">
        <f t="shared" si="35"/>
        <v>3263.4325220533883</v>
      </c>
      <c r="H80" s="24">
        <f t="shared" si="35"/>
        <v>4220.043336361643</v>
      </c>
      <c r="I80" s="24">
        <f t="shared" si="35"/>
        <v>4221.1915134721075</v>
      </c>
      <c r="J80" s="24">
        <f t="shared" si="35"/>
        <v>4206.943666295304</v>
      </c>
      <c r="K80" s="24">
        <f t="shared" si="35"/>
        <v>4175.5818643772673</v>
      </c>
      <c r="L80" s="24">
        <f t="shared" si="35"/>
        <v>4125.2409125983886</v>
      </c>
      <c r="M80" s="24">
        <f t="shared" si="35"/>
        <v>4053.8968656482293</v>
      </c>
      <c r="N80" s="24">
        <f t="shared" si="35"/>
        <v>3959.3546846489021</v>
      </c>
      <c r="O80" s="24">
        <f t="shared" si="35"/>
        <v>16127.114936818194</v>
      </c>
    </row>
    <row r="81" spans="1:15" ht="16.5" thickBot="1">
      <c r="A81" s="21"/>
      <c r="B81" s="107" t="s">
        <v>101</v>
      </c>
      <c r="C81" s="110">
        <f>IRR(E80:O80)</f>
        <v>0.21182909144833961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ht="15.75">
      <c r="A82" s="21"/>
      <c r="B82" s="22"/>
      <c r="C82" s="22"/>
      <c r="D82" s="22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ht="15.75">
      <c r="A83" s="21"/>
      <c r="B83" s="94" t="s">
        <v>100</v>
      </c>
      <c r="C83" s="22"/>
      <c r="D83" s="94" t="str">
        <f>I5</f>
        <v>(000 ommited)</v>
      </c>
      <c r="E83" s="21"/>
      <c r="F83" s="24">
        <f t="shared" ref="F83:O83" si="36">F67-15000*0.08</f>
        <v>-2004.2296303926669</v>
      </c>
      <c r="G83" s="24">
        <f t="shared" si="36"/>
        <v>2569.377851486388</v>
      </c>
      <c r="H83" s="24">
        <f t="shared" si="36"/>
        <v>2586.9125955458439</v>
      </c>
      <c r="I83" s="24">
        <f t="shared" si="36"/>
        <v>2590.7355430236748</v>
      </c>
      <c r="J83" s="24">
        <f t="shared" si="36"/>
        <v>2579.269457028935</v>
      </c>
      <c r="K83" s="24">
        <f t="shared" si="36"/>
        <v>2550.8006867402437</v>
      </c>
      <c r="L83" s="24">
        <f t="shared" si="36"/>
        <v>2503.4684878558837</v>
      </c>
      <c r="M83" s="24">
        <f t="shared" si="36"/>
        <v>2435.2535439160238</v>
      </c>
      <c r="N83" s="24">
        <f t="shared" si="36"/>
        <v>2343.9656300474089</v>
      </c>
      <c r="O83" s="24">
        <f t="shared" si="36"/>
        <v>2227.2303564570211</v>
      </c>
    </row>
    <row r="84" spans="1:15" ht="15.75">
      <c r="A84" s="21"/>
      <c r="B84" s="94" t="s">
        <v>99</v>
      </c>
      <c r="C84" s="22"/>
      <c r="D84" s="22"/>
      <c r="E84" s="21"/>
      <c r="F84" s="23">
        <f t="shared" ref="F84:O84" si="37">F83/F39</f>
        <v>-0.28775364049809726</v>
      </c>
      <c r="G84" s="23">
        <f t="shared" si="37"/>
        <v>0.1469161573093275</v>
      </c>
      <c r="H84" s="23">
        <f t="shared" si="37"/>
        <v>0.14222960389359998</v>
      </c>
      <c r="I84" s="23">
        <f t="shared" si="37"/>
        <v>0.1369613377351</v>
      </c>
      <c r="J84" s="23">
        <f t="shared" si="37"/>
        <v>0.13111074402923387</v>
      </c>
      <c r="K84" s="23">
        <f t="shared" si="37"/>
        <v>0.12467654321108586</v>
      </c>
      <c r="L84" s="23">
        <f t="shared" si="37"/>
        <v>0.11765679585895862</v>
      </c>
      <c r="M84" s="23">
        <f t="shared" si="37"/>
        <v>0.11004890678950398</v>
      </c>
      <c r="N84" s="23">
        <f t="shared" si="37"/>
        <v>0.10184962835694374</v>
      </c>
      <c r="O84" s="23">
        <f t="shared" si="37"/>
        <v>9.3055062967838331E-2</v>
      </c>
    </row>
    <row r="85" spans="1:15" ht="15.75">
      <c r="A85" s="21"/>
      <c r="B85" s="22"/>
      <c r="C85" s="22"/>
      <c r="D85" s="22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>
      <c r="A86" s="177"/>
      <c r="B86" s="177"/>
      <c r="C86" s="177"/>
      <c r="D86" s="177"/>
      <c r="E86" s="177"/>
      <c r="F86" s="177"/>
      <c r="G86" s="177"/>
      <c r="H86" s="132"/>
      <c r="I86" s="132"/>
      <c r="J86" s="132"/>
      <c r="K86" s="132"/>
      <c r="L86" s="132"/>
      <c r="M86" s="132"/>
      <c r="N86" s="132"/>
      <c r="O86" s="132"/>
    </row>
    <row r="87" spans="1:15" ht="15.75">
      <c r="A87" s="146" t="s">
        <v>226</v>
      </c>
      <c r="B87" s="176" t="s">
        <v>227</v>
      </c>
      <c r="C87" s="176"/>
      <c r="D87" s="176"/>
      <c r="E87" s="176"/>
      <c r="F87" s="176"/>
      <c r="G87" s="176"/>
      <c r="H87" s="176"/>
      <c r="I87" s="176"/>
    </row>
    <row r="88" spans="1:15">
      <c r="A88" s="176"/>
      <c r="B88" s="176" t="s">
        <v>228</v>
      </c>
      <c r="C88" s="176"/>
      <c r="D88" s="176"/>
      <c r="E88" s="176"/>
      <c r="F88" s="176"/>
      <c r="G88" s="176"/>
      <c r="H88" s="176"/>
      <c r="I88" s="176"/>
    </row>
    <row r="89" spans="1:15">
      <c r="A89" s="176"/>
      <c r="B89" s="176">
        <v>1</v>
      </c>
      <c r="C89" s="176" t="s">
        <v>229</v>
      </c>
      <c r="D89" s="176"/>
      <c r="E89" s="176"/>
      <c r="F89" s="176"/>
      <c r="G89" s="176"/>
      <c r="H89" s="176"/>
      <c r="I89" s="176"/>
    </row>
    <row r="90" spans="1:15">
      <c r="A90" s="176"/>
      <c r="B90" s="176">
        <v>2</v>
      </c>
      <c r="C90" s="176" t="s">
        <v>230</v>
      </c>
      <c r="D90" s="176"/>
      <c r="E90" s="176"/>
      <c r="F90" s="176"/>
      <c r="G90" s="176"/>
      <c r="H90" s="176"/>
      <c r="I90" s="176"/>
    </row>
    <row r="91" spans="1:15">
      <c r="A91" s="176"/>
      <c r="B91" s="176">
        <v>3</v>
      </c>
      <c r="C91" s="176" t="s">
        <v>231</v>
      </c>
      <c r="D91" s="176"/>
      <c r="E91" s="176"/>
      <c r="F91" s="176"/>
      <c r="G91" s="176"/>
      <c r="H91" s="176"/>
      <c r="I91" s="176"/>
    </row>
    <row r="92" spans="1:15">
      <c r="A92" s="176"/>
      <c r="B92" s="176" t="s">
        <v>232</v>
      </c>
      <c r="C92" s="176"/>
      <c r="D92" s="176"/>
      <c r="E92" s="176"/>
      <c r="F92" s="176"/>
      <c r="G92" s="176"/>
      <c r="H92" s="176"/>
      <c r="I92" s="176"/>
    </row>
    <row r="93" spans="1:15" ht="15.75" thickBot="1">
      <c r="A93" s="176"/>
      <c r="B93" s="176" t="s">
        <v>7</v>
      </c>
      <c r="C93" s="176"/>
      <c r="D93" s="176"/>
      <c r="E93" s="176"/>
      <c r="F93" s="176"/>
      <c r="G93" s="176"/>
      <c r="H93" s="176"/>
      <c r="I93" s="176"/>
    </row>
    <row r="94" spans="1:15">
      <c r="A94" s="176"/>
      <c r="B94" s="178"/>
      <c r="C94" s="179"/>
      <c r="D94" s="179"/>
      <c r="E94" s="179"/>
      <c r="F94" s="180"/>
      <c r="G94" s="176"/>
      <c r="H94" s="176"/>
      <c r="I94" s="176"/>
    </row>
    <row r="95" spans="1:15">
      <c r="A95" s="176"/>
      <c r="B95" s="181"/>
      <c r="C95" s="182"/>
      <c r="D95" s="182"/>
      <c r="E95" s="182"/>
      <c r="F95" s="183"/>
      <c r="G95" s="176"/>
      <c r="H95" s="176"/>
      <c r="I95" s="176"/>
    </row>
    <row r="96" spans="1:15">
      <c r="A96" s="176"/>
      <c r="B96" s="181"/>
      <c r="C96" s="182"/>
      <c r="D96" s="182"/>
      <c r="E96" s="182"/>
      <c r="F96" s="183"/>
      <c r="G96" s="176"/>
      <c r="H96" s="176"/>
      <c r="I96" s="176"/>
    </row>
    <row r="97" spans="1:9">
      <c r="A97" s="176"/>
      <c r="B97" s="181"/>
      <c r="C97" s="182"/>
      <c r="D97" s="182"/>
      <c r="E97" s="182"/>
      <c r="F97" s="183"/>
      <c r="G97" s="176"/>
      <c r="H97" s="176"/>
      <c r="I97" s="176"/>
    </row>
    <row r="98" spans="1:9">
      <c r="A98" s="176"/>
      <c r="B98" s="181"/>
      <c r="C98" s="182"/>
      <c r="D98" s="182"/>
      <c r="E98" s="182"/>
      <c r="F98" s="183"/>
      <c r="G98" s="176"/>
      <c r="H98" s="176"/>
      <c r="I98" s="176"/>
    </row>
    <row r="99" spans="1:9">
      <c r="A99" s="176"/>
      <c r="B99" s="181"/>
      <c r="C99" s="182"/>
      <c r="D99" s="182"/>
      <c r="E99" s="182"/>
      <c r="F99" s="183"/>
      <c r="G99" s="176"/>
      <c r="H99" s="176"/>
      <c r="I99" s="176"/>
    </row>
    <row r="100" spans="1:9" ht="15.75" thickBot="1">
      <c r="A100" s="176"/>
      <c r="B100" s="184"/>
      <c r="C100" s="185"/>
      <c r="D100" s="185"/>
      <c r="E100" s="185"/>
      <c r="F100" s="186"/>
      <c r="G100" s="176"/>
      <c r="H100" s="176"/>
      <c r="I100" s="176"/>
    </row>
    <row r="101" spans="1:9">
      <c r="A101" s="176"/>
      <c r="B101" s="176"/>
      <c r="C101" s="176"/>
      <c r="D101" s="176"/>
      <c r="E101" s="176"/>
      <c r="F101" s="176"/>
      <c r="G101" s="176"/>
      <c r="H101" s="176"/>
      <c r="I101" s="176"/>
    </row>
    <row r="102" spans="1:9" ht="15.75">
      <c r="A102" s="146" t="s">
        <v>216</v>
      </c>
      <c r="B102" s="176" t="s">
        <v>233</v>
      </c>
      <c r="C102" s="176"/>
      <c r="D102" s="176"/>
      <c r="E102" s="176"/>
      <c r="F102" s="176"/>
      <c r="G102" s="176"/>
    </row>
    <row r="103" spans="1:9">
      <c r="A103" s="176"/>
      <c r="B103" s="176" t="s">
        <v>234</v>
      </c>
      <c r="C103" s="176"/>
      <c r="D103" s="176"/>
      <c r="E103" s="176"/>
      <c r="F103" s="176"/>
      <c r="G103" s="176"/>
    </row>
    <row r="104" spans="1:9">
      <c r="A104" s="176"/>
      <c r="B104" s="176" t="s">
        <v>235</v>
      </c>
      <c r="C104" s="176"/>
      <c r="D104" s="176"/>
      <c r="E104" s="176"/>
      <c r="F104" s="176"/>
      <c r="G104" s="176"/>
    </row>
    <row r="105" spans="1:9" ht="15.75" thickBot="1">
      <c r="A105" s="176"/>
      <c r="B105" s="176" t="s">
        <v>215</v>
      </c>
      <c r="C105" s="176"/>
      <c r="D105" s="176"/>
      <c r="E105" s="176"/>
      <c r="F105" s="176"/>
      <c r="G105" s="176"/>
    </row>
    <row r="106" spans="1:9">
      <c r="A106" s="176"/>
      <c r="B106" s="178"/>
      <c r="C106" s="179"/>
      <c r="D106" s="179"/>
      <c r="E106" s="179"/>
      <c r="F106" s="180"/>
      <c r="G106" s="176"/>
    </row>
    <row r="107" spans="1:9">
      <c r="A107" s="176"/>
      <c r="B107" s="181"/>
      <c r="C107" s="182"/>
      <c r="D107" s="182"/>
      <c r="E107" s="182"/>
      <c r="F107" s="183"/>
      <c r="G107" s="176"/>
    </row>
    <row r="108" spans="1:9">
      <c r="A108" s="176"/>
      <c r="B108" s="181"/>
      <c r="C108" s="182"/>
      <c r="D108" s="182"/>
      <c r="E108" s="182"/>
      <c r="F108" s="183"/>
      <c r="G108" s="176"/>
    </row>
    <row r="109" spans="1:9">
      <c r="A109" s="176"/>
      <c r="B109" s="181"/>
      <c r="C109" s="182"/>
      <c r="D109" s="182"/>
      <c r="E109" s="182"/>
      <c r="F109" s="183"/>
      <c r="G109" s="176"/>
    </row>
    <row r="110" spans="1:9">
      <c r="A110" s="176"/>
      <c r="B110" s="181"/>
      <c r="C110" s="182"/>
      <c r="D110" s="182"/>
      <c r="E110" s="182"/>
      <c r="F110" s="183"/>
      <c r="G110" s="176"/>
    </row>
    <row r="111" spans="1:9">
      <c r="A111" s="176"/>
      <c r="B111" s="181"/>
      <c r="C111" s="182"/>
      <c r="D111" s="182"/>
      <c r="E111" s="182"/>
      <c r="F111" s="183"/>
      <c r="G111" s="176"/>
    </row>
    <row r="112" spans="1:9">
      <c r="A112" s="176"/>
      <c r="B112" s="181"/>
      <c r="C112" s="182"/>
      <c r="D112" s="182"/>
      <c r="E112" s="182"/>
      <c r="F112" s="183"/>
      <c r="G112" s="176"/>
    </row>
    <row r="113" spans="1:7">
      <c r="A113" s="176"/>
      <c r="B113" s="181"/>
      <c r="C113" s="182"/>
      <c r="D113" s="182"/>
      <c r="E113" s="182"/>
      <c r="F113" s="183"/>
      <c r="G113" s="176"/>
    </row>
    <row r="114" spans="1:7">
      <c r="A114" s="176"/>
      <c r="B114" s="181"/>
      <c r="C114" s="182"/>
      <c r="D114" s="182"/>
      <c r="E114" s="182"/>
      <c r="F114" s="183"/>
      <c r="G114" s="176"/>
    </row>
    <row r="115" spans="1:7">
      <c r="A115" s="176"/>
      <c r="B115" s="181"/>
      <c r="C115" s="182"/>
      <c r="D115" s="182"/>
      <c r="E115" s="182"/>
      <c r="F115" s="183"/>
      <c r="G115" s="176"/>
    </row>
    <row r="116" spans="1:7">
      <c r="A116" s="176"/>
      <c r="B116" s="181"/>
      <c r="C116" s="182"/>
      <c r="D116" s="182"/>
      <c r="E116" s="182"/>
      <c r="F116" s="183"/>
      <c r="G116" s="176"/>
    </row>
    <row r="117" spans="1:7">
      <c r="B117" s="187"/>
      <c r="C117" s="188"/>
      <c r="D117" s="188"/>
      <c r="E117" s="188"/>
      <c r="F117" s="189"/>
    </row>
    <row r="118" spans="1:7">
      <c r="B118" s="187"/>
      <c r="C118" s="188"/>
      <c r="D118" s="188"/>
      <c r="E118" s="188"/>
      <c r="F118" s="189"/>
    </row>
    <row r="119" spans="1:7">
      <c r="B119" s="187"/>
      <c r="C119" s="188"/>
      <c r="D119" s="188"/>
      <c r="E119" s="188"/>
      <c r="F119" s="189"/>
    </row>
    <row r="120" spans="1:7" ht="15.75" thickBot="1">
      <c r="B120" s="190"/>
      <c r="C120" s="191"/>
      <c r="D120" s="191"/>
      <c r="E120" s="191"/>
      <c r="F120" s="192"/>
    </row>
  </sheetData>
  <phoneticPr fontId="8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THIS FIRST </vt:lpstr>
      <vt:lpstr>Q1 Capital Budgeting Template</vt:lpstr>
      <vt:lpstr>Q2 K-wacc</vt:lpstr>
      <vt:lpstr>Q3 Sensitivty Analysis</vt:lpstr>
      <vt:lpstr>Sheet1</vt:lpstr>
    </vt:vector>
  </TitlesOfParts>
  <Company>GWU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 Cohen</dc:creator>
  <cp:lastModifiedBy>Suthar Computer</cp:lastModifiedBy>
  <dcterms:created xsi:type="dcterms:W3CDTF">2013-07-26T17:16:40Z</dcterms:created>
  <dcterms:modified xsi:type="dcterms:W3CDTF">2014-04-11T05:28:18Z</dcterms:modified>
</cp:coreProperties>
</file>